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drawings/drawing27.xml" ContentType="application/vnd.openxmlformats-officedocument.drawingml.chartshapes+xml"/>
  <Override PartName="/xl/charts/chart50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activeX/activeX1.xml" ContentType="application/vnd.ms-office.activeX+xml"/>
  <Override PartName="/xl/activeX/activeX2.xml" ContentType="application/vnd.ms-office.activeX+xml"/>
  <Override PartName="/xl/activeX/activeX1.bin" ContentType="application/vnd.ms-office.activeX"/>
  <Override PartName="/xl/activeX/activeX2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12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educationgovuk.sharepoint.com/sites/UnitforFutureSkills/Shared Documents/Research Projects/Working Futures extensions/Projections/Skills Imperative 2035 National_Regional_Subregional workbooks/LocalSkillsData/"/>
    </mc:Choice>
  </mc:AlternateContent>
  <xr:revisionPtr revIDLastSave="0" documentId="13_ncr:1_{A8753CBB-4A6A-4E98-B3F7-1056AD7AB652}" xr6:coauthVersionLast="47" xr6:coauthVersionMax="47" xr10:uidLastSave="{00000000-0000-0000-0000-000000000000}"/>
  <bookViews>
    <workbookView xWindow="-98" yWindow="-98" windowWidth="22695" windowHeight="14595" tabRatio="880" firstSheet="20" activeTab="20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L1" i="7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J36" i="109"/>
  <c r="AI36" i="109"/>
  <c r="AH36" i="109"/>
  <c r="AT34" i="109"/>
  <c r="AS34" i="109"/>
  <c r="AR34" i="109"/>
  <c r="AO34" i="109"/>
  <c r="AN34" i="109"/>
  <c r="AM34" i="109"/>
  <c r="AJ34" i="109"/>
  <c r="AI34" i="109"/>
  <c r="AH34" i="109"/>
  <c r="AT33" i="109"/>
  <c r="AS33" i="109"/>
  <c r="AR33" i="109"/>
  <c r="AO33" i="109"/>
  <c r="AN33" i="109"/>
  <c r="AM33" i="109"/>
  <c r="AJ33" i="109"/>
  <c r="AI33" i="109"/>
  <c r="AH33" i="109"/>
  <c r="AT32" i="109"/>
  <c r="AS32" i="109"/>
  <c r="AR32" i="109"/>
  <c r="AO32" i="109"/>
  <c r="AN32" i="109"/>
  <c r="AM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T30" i="109"/>
  <c r="AS30" i="109"/>
  <c r="AR30" i="109"/>
  <c r="AO30" i="109"/>
  <c r="AN30" i="109"/>
  <c r="AM30" i="109"/>
  <c r="AJ30" i="109"/>
  <c r="AI30" i="109"/>
  <c r="AH30" i="109"/>
  <c r="AT29" i="109"/>
  <c r="AS29" i="109"/>
  <c r="AR29" i="109"/>
  <c r="AO29" i="109"/>
  <c r="AN29" i="109"/>
  <c r="AM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K36" i="109" l="1"/>
  <c r="AK27" i="109"/>
  <c r="AK34" i="109"/>
  <c r="AU30" i="109"/>
  <c r="AK33" i="109"/>
  <c r="AU29" i="109"/>
  <c r="AK32" i="109"/>
  <c r="AK30" i="109"/>
  <c r="AU34" i="109"/>
  <c r="AK29" i="109"/>
  <c r="W1" i="16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C82" i="104" l="1"/>
  <c r="E104" i="104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<sst xmlns="http://schemas.openxmlformats.org/spreadsheetml/2006/main" count="2354" uniqueCount="530">
  <si>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Database</t>
  </si>
  <si>
    <t>M:/IE/Projects/Nuffield via NFER AI and automation/Data/Results/Workbooks/LEPs/BC_LEP/BC_LEP_Database.Main.xlsx</t>
  </si>
  <si>
    <t>M:\IE\Projects\Nuffield via NFER AI and automation\Data\Results\Workbooks\LEPs\OX_LEP\v2 Main\OX_LEP_Database.Main.xlsx</t>
  </si>
  <si>
    <t>M:\IE\Projects\Nuffield via NFER AI and automation\Data\Results\Workbooks\LO\v2 Main\LO_Database.Main.xlsx</t>
  </si>
  <si>
    <t>Database current</t>
  </si>
  <si>
    <t>WARNING</t>
  </si>
  <si>
    <t>THIS EXCEL WORKBOOK CONTAINS DATA</t>
  </si>
  <si>
    <t>BASED ON THE ANNUAL BUSINESS INQUIRY /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</si>
  <si>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</si>
  <si>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</si>
  <si>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</si>
  <si>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</si>
  <si>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Copyright:  Warwick Institute for Employment Research / Cambridge Econometrics, 2023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</si>
  <si>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</si>
  <si>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</si>
  <si>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</si>
  <si>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</si>
  <si>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</si>
  <si>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</si>
  <si>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</si>
  <si>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</si>
  <si>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For cases in between 1,000 and 10,000 individuals, it is difficult to prescribe general rules, and an element of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</si>
  <si>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</si>
  <si>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</si>
  <si>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publishable then the equivalent figures in the workbooks should not be published. Where the focus is on</t>
  </si>
  <si>
    <t>self-employment or upon occupations, a more stringent cut-off should be applied.</t>
  </si>
  <si>
    <t>For unpublished analyses, a more lenient criterion can be used. However, the uncertainties associated with</t>
  </si>
  <si>
    <t>projections involving fewer than 1,000 individuals are probably too great for such estimates to be useful.</t>
  </si>
  <si>
    <t>However, there is inevitably some degree of judgement required on the part of the researcher.</t>
  </si>
  <si>
    <t>Thus, in summary, we advise:</t>
  </si>
  <si>
    <t>PUBLISHED DATA: Ideally, a minimum of 10,000 individuals per cell</t>
  </si>
  <si>
    <t>UNPUBLISHED DATA: A minimum of 1,000 individuals per cell</t>
  </si>
  <si>
    <t>LEP</t>
  </si>
  <si>
    <t>1. Black Country</t>
  </si>
  <si>
    <t>Scenario</t>
  </si>
  <si>
    <t>.Main</t>
  </si>
  <si>
    <t>MDM version</t>
  </si>
  <si>
    <t>Nuffield - Rev 13547</t>
  </si>
  <si>
    <t>Date database created</t>
  </si>
  <si>
    <t>LEP name</t>
  </si>
  <si>
    <t>Black Country</t>
  </si>
  <si>
    <t>Date run</t>
  </si>
  <si>
    <t>09 03 2023 10:15:25 AM</t>
  </si>
  <si>
    <t>Manager</t>
  </si>
  <si>
    <t>Current Input File:</t>
  </si>
  <si>
    <t>Choose Database File</t>
  </si>
  <si>
    <t>Select years for the Tables</t>
  </si>
  <si>
    <t>1st</t>
  </si>
  <si>
    <t>2nd</t>
  </si>
  <si>
    <t>3rd</t>
  </si>
  <si>
    <t>4th</t>
  </si>
  <si>
    <t>5th</t>
  </si>
  <si>
    <t>Existing years</t>
  </si>
  <si>
    <t>Set new years here:-</t>
  </si>
  <si>
    <t>Contents</t>
  </si>
  <si>
    <t>To return to this sheet from any page, just click the home icon</t>
  </si>
  <si>
    <t>Sheet name</t>
  </si>
  <si>
    <t>Ind T1</t>
  </si>
  <si>
    <t>Employment by Industry Sector (6 industries)</t>
  </si>
  <si>
    <t>Ind T2</t>
  </si>
  <si>
    <t>Employment by Industry Group (22 industries)</t>
  </si>
  <si>
    <t>Ind T4</t>
  </si>
  <si>
    <t>Employment by Industry Group in Sector (6 + 22 industries)</t>
  </si>
  <si>
    <t>Ind T5</t>
  </si>
  <si>
    <t>Employment Status by Industry Group and Gender (22 industries)</t>
  </si>
  <si>
    <t>Ind T6</t>
  </si>
  <si>
    <t>Employment Status by Industry and Gender (22 industries)</t>
  </si>
  <si>
    <t>Ind F1</t>
  </si>
  <si>
    <t>Bar Chart Growth in Employment by Industry Group (6 + 22 industries)</t>
  </si>
  <si>
    <t>Ind F2</t>
  </si>
  <si>
    <t>Line Chart Employment by Industry (6 + 22 industries)</t>
  </si>
  <si>
    <t>IndOcc T1</t>
  </si>
  <si>
    <t>Occupation Composition by Gender (9 occupations by 22 industries)</t>
  </si>
  <si>
    <t>IndOcc T2</t>
  </si>
  <si>
    <t>Occupation Composition by Employment Status (9 occupations by 22 industries)</t>
  </si>
  <si>
    <t>Occ T1</t>
  </si>
  <si>
    <t>Employment Change by Occupation Group and Gender and Replacement Demand (9 occupations)</t>
  </si>
  <si>
    <t>Occ T2</t>
  </si>
  <si>
    <t>Employment Change by Occupation and Replacement Demand (26 occupations)</t>
  </si>
  <si>
    <t>Occ T3</t>
  </si>
  <si>
    <t>Employment Change by Occupation in Occupation Group (9 + 26 occupations)</t>
  </si>
  <si>
    <t>Occ T4</t>
  </si>
  <si>
    <t>Occupation Composition by Gender (26 occupations)</t>
  </si>
  <si>
    <t>Occ T5</t>
  </si>
  <si>
    <t>Employment Change by Occupation Group, Status and Gender (9 occupations)</t>
  </si>
  <si>
    <t>Occ F1</t>
  </si>
  <si>
    <t>Bar Chart Growth in Employment by Occupation (9 + 26 occupations)</t>
  </si>
  <si>
    <t>Occ F2</t>
  </si>
  <si>
    <t>Line Chart Employment by Occupation (9 + 26 occupations)</t>
  </si>
  <si>
    <t>Occ F3</t>
  </si>
  <si>
    <t>Changes in Occupational Employment Structure (9 occupations)</t>
  </si>
  <si>
    <t>Occ F4</t>
  </si>
  <si>
    <t>Occupational Change by Gender (9 occupations)</t>
  </si>
  <si>
    <t>Occ F5</t>
  </si>
  <si>
    <t>Occupational Change by Status (9 occupations)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</si>
  <si>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</si>
  <si>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</si>
  <si>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</si>
  <si>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</si>
  <si>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</si>
  <si>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Shift-Share by Occupation (26 occupations)</t>
  </si>
  <si>
    <t>RD T1</t>
  </si>
  <si>
    <t>Replacement Demand by Occupation and Qualification (26 occupations by 9 qualifications)</t>
  </si>
  <si>
    <t>RD F1</t>
  </si>
  <si>
    <t>Replacement Demand by Occupation Group (9 + 26 occupations)</t>
  </si>
  <si>
    <t>Basic T1</t>
  </si>
  <si>
    <t>Employment by Industry Sector, Occupation Group and Qualification (9 occupations by 6 industries by 9 qualifications)</t>
  </si>
  <si>
    <t>Basic T2</t>
  </si>
  <si>
    <t>Employment Change by Occupation and Replacement Demand (26 occupations by 9 qualifications)</t>
  </si>
  <si>
    <t>Basic T3</t>
  </si>
  <si>
    <t>Occupation by Qualification (26 occupations by 9 qualifications)</t>
  </si>
  <si>
    <t>6 Industries</t>
  </si>
  <si>
    <t>thousands</t>
  </si>
  <si>
    <t>Levels (000s)</t>
  </si>
  <si>
    <t>Growth % per annum</t>
  </si>
  <si>
    <t>Net</t>
  </si>
  <si>
    <t>Replacement</t>
  </si>
  <si>
    <t>Total</t>
  </si>
  <si>
    <t>Change</t>
  </si>
  <si>
    <t>Demand</t>
  </si>
  <si>
    <t>Requirement</t>
  </si>
  <si>
    <t>per cent</t>
  </si>
  <si>
    <t>Shares (per cent)</t>
  </si>
  <si>
    <t>Growth (% per annum)</t>
  </si>
  <si>
    <t>Change (000s)</t>
  </si>
  <si>
    <t>22 Industries</t>
  </si>
  <si>
    <t>6 + 22 Industries</t>
  </si>
  <si>
    <t>Absolute levels and changes (000s)</t>
  </si>
  <si>
    <t>Levels</t>
  </si>
  <si>
    <t>Annual growth and industry shares (percent)</t>
  </si>
  <si>
    <t xml:space="preserve">Employment Status </t>
  </si>
  <si>
    <t>Changes in Employment Status (000s)</t>
  </si>
  <si>
    <t>Employment by Gender</t>
  </si>
  <si>
    <t>Full time</t>
  </si>
  <si>
    <t>Part time</t>
  </si>
  <si>
    <t>Self employed</t>
  </si>
  <si>
    <t>FT</t>
  </si>
  <si>
    <t>PT</t>
  </si>
  <si>
    <t>SE</t>
  </si>
  <si>
    <t>000s</t>
  </si>
  <si>
    <t>(% share)</t>
  </si>
  <si>
    <t>Male employment</t>
  </si>
  <si>
    <t>Female employment</t>
  </si>
  <si>
    <t>Total employment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</si>
  <si>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</si>
  <si>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Linked to sheet IndustryTable4</t>
  </si>
  <si>
    <t>Years shown from</t>
  </si>
  <si>
    <t>to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</si>
  <si>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</si>
  <si>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</si>
  <si>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</si>
  <si>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Industry Table1</t>
  </si>
  <si>
    <t>9 Occupations by 22 Industries</t>
  </si>
  <si>
    <t>All industries</t>
  </si>
  <si>
    <t>Female</t>
  </si>
  <si>
    <t>Male</t>
  </si>
  <si>
    <t>9 Occupations</t>
  </si>
  <si>
    <t>Males</t>
  </si>
  <si>
    <t>Females</t>
  </si>
  <si>
    <t>% per annum</t>
  </si>
  <si>
    <t>Growth</t>
  </si>
  <si>
    <t>26 Occupations</t>
  </si>
  <si>
    <t>Shares</t>
  </si>
  <si>
    <t>9 + 26 Occupations</t>
  </si>
  <si>
    <t>Annual growth and occupation shares (percent)</t>
  </si>
  <si>
    <t xml:space="preserve">% p.a. changes 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</si>
  <si>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</si>
  <si>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</si>
  <si>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t>% share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</si>
  <si>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</si>
  <si>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</si>
  <si>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</si>
  <si>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Absolute Changes (000s)</t>
  </si>
  <si>
    <t>axis bounds</t>
  </si>
  <si>
    <t>major unit</t>
  </si>
  <si>
    <t>max</t>
  </si>
  <si>
    <t>min</t>
  </si>
  <si>
    <t>All</t>
  </si>
  <si>
    <t>Self-employment</t>
  </si>
  <si>
    <t>Part-time</t>
  </si>
  <si>
    <t>Full-time</t>
  </si>
  <si>
    <t>9 Qualifications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</si>
  <si>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</si>
  <si>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</si>
  <si>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</si>
  <si>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</si>
  <si>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</si>
  <si>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</si>
  <si>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SOC2020 Sub-Major Groups</t>
  </si>
  <si>
    <t xml:space="preserve">%   </t>
  </si>
  <si>
    <t>26 Occupations by 9 Qualifications</t>
  </si>
  <si>
    <t>9 Occupations by 9 Qualifications</t>
  </si>
  <si>
    <t>Net Change</t>
  </si>
  <si>
    <t>Replacement Demand level</t>
  </si>
  <si>
    <t>Total Requirement</t>
  </si>
  <si>
    <t>Replacement Demand rate</t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</si>
  <si>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</si>
  <si>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9 Occupations by 6 Industries by 9 Qualifications</t>
  </si>
  <si>
    <t>Qualification levels (thousands)</t>
  </si>
  <si>
    <t>Shares of all occupations (per cent)</t>
  </si>
  <si>
    <t>Shares of all qualifications (per cent)</t>
  </si>
  <si>
    <t>RD p.a%</t>
  </si>
  <si>
    <t>Replace-ment Demand</t>
  </si>
  <si>
    <t>Total Require-ment</t>
  </si>
  <si>
    <t>Years used in the formula for RD p.a%</t>
  </si>
  <si>
    <t>Occupation effect                   ("share")</t>
  </si>
  <si>
    <t>Industry Mix Effect ("shift")</t>
  </si>
  <si>
    <t>All Occupations (Base Year)</t>
  </si>
  <si>
    <t>Target Year</t>
  </si>
  <si>
    <t>SOC2010 Sub-Major Groups</t>
  </si>
  <si>
    <t>occ share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</si>
  <si>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</si>
  <si>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</si>
  <si>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</si>
  <si>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</si>
  <si>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</si>
  <si>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</si>
  <si>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</si>
  <si>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Where does the data come from for this? (LPB)</t>
  </si>
  <si>
    <t>Population</t>
  </si>
  <si>
    <t>All Low qualifications</t>
  </si>
  <si>
    <t>Pre-primary education</t>
  </si>
  <si>
    <t>Primary education (1st stage basic)</t>
  </si>
  <si>
    <t>Lower secondary education (2nd stage basic)</t>
  </si>
  <si>
    <t>All Medium qualifications</t>
  </si>
  <si>
    <t>Upper secondary education</t>
  </si>
  <si>
    <t>Post-secondary non-tertiary education</t>
  </si>
  <si>
    <t>All High qualifications</t>
  </si>
  <si>
    <t>First stage of tertiary education</t>
  </si>
  <si>
    <t>Second stage of tertiary education</t>
  </si>
  <si>
    <t>(in age bands)</t>
  </si>
  <si>
    <t>Males and females</t>
  </si>
  <si>
    <t>15+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</si>
  <si>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</si>
  <si>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</si>
  <si>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</si>
  <si>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</si>
  <si>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</si>
  <si>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</si>
  <si>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</si>
  <si>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</si>
  <si>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</si>
  <si>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</si>
  <si>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65+</t>
  </si>
  <si>
    <t>Labour Force</t>
  </si>
  <si>
    <t>Note: For Belgium there is no European LFS data for some of the ISCED Qualifications.</t>
  </si>
  <si>
    <t>75-Industry</t>
  </si>
  <si>
    <t>22-Industry</t>
  </si>
  <si>
    <t>6-Industry</t>
  </si>
  <si>
    <t>26-Occupation</t>
  </si>
  <si>
    <t>9-Occupation</t>
  </si>
  <si>
    <t>9-Qualification names:</t>
  </si>
  <si>
    <t>6-Qualification names:</t>
  </si>
  <si>
    <t>Gender names:</t>
  </si>
  <si>
    <t>Status names:</t>
  </si>
  <si>
    <t>Industry</t>
  </si>
  <si>
    <t>Industry groups</t>
  </si>
  <si>
    <t>Industry sectors</t>
  </si>
  <si>
    <t>Sub-major group names:</t>
  </si>
  <si>
    <t>Major group names:</t>
  </si>
  <si>
    <t>Qualification</t>
  </si>
  <si>
    <t>Qualification groups</t>
  </si>
  <si>
    <t>M+F</t>
  </si>
  <si>
    <t>All in employment</t>
  </si>
  <si>
    <t>All occupations</t>
  </si>
  <si>
    <t>All qualifications</t>
  </si>
  <si>
    <t>M</t>
  </si>
  <si>
    <t>EE</t>
  </si>
  <si>
    <t>Employees in employment</t>
  </si>
  <si>
    <t>Agriculture, etc</t>
  </si>
  <si>
    <t>Agriculture</t>
  </si>
  <si>
    <t>Primary sector and utilities</t>
  </si>
  <si>
    <t>11 Corporate managers and directors</t>
  </si>
  <si>
    <t>Managers, directors and senior officials</t>
  </si>
  <si>
    <t>RQF8 Doctorate</t>
  </si>
  <si>
    <t>RQF 7-8</t>
  </si>
  <si>
    <t>F</t>
  </si>
  <si>
    <t>Coal, oil &amp; gas; Mining &amp; related</t>
  </si>
  <si>
    <t>Mining and quarrying</t>
  </si>
  <si>
    <t>Manufacturing</t>
  </si>
  <si>
    <t>12 Other managers and proprietors</t>
  </si>
  <si>
    <t>Professional occupations</t>
  </si>
  <si>
    <t>RQF7 Other higher degree</t>
  </si>
  <si>
    <t>RQF 4-6</t>
  </si>
  <si>
    <t>Full-time employees</t>
  </si>
  <si>
    <t>Food products</t>
  </si>
  <si>
    <t>Food drink and tobacco</t>
  </si>
  <si>
    <t>Construction</t>
  </si>
  <si>
    <t>21 Science, research, engineering and technology professionals</t>
  </si>
  <si>
    <t>Associate professional occupations</t>
  </si>
  <si>
    <t>RQF6 First degree</t>
  </si>
  <si>
    <t>RQF3 A level &amp; equivalent</t>
  </si>
  <si>
    <t>Part-time employees</t>
  </si>
  <si>
    <t>Beverages and tobacco</t>
  </si>
  <si>
    <t>Engineering</t>
  </si>
  <si>
    <t>Trade, accomod. and transport</t>
  </si>
  <si>
    <t>22 Health professionals</t>
  </si>
  <si>
    <t>Administrative and secretarial occupations</t>
  </si>
  <si>
    <t>RQF5 Foundation degree;Nursing;Teaching</t>
  </si>
  <si>
    <t>RQF2 GCSE(A-C) &amp; equivalent</t>
  </si>
  <si>
    <t>Textiles</t>
  </si>
  <si>
    <t>Rest of manufacturing</t>
  </si>
  <si>
    <t>Business and other services</t>
  </si>
  <si>
    <t>23 Teaching and other educational professionals</t>
  </si>
  <si>
    <t>Skilled trades occupations</t>
  </si>
  <si>
    <t>RQF4 HE below degree level</t>
  </si>
  <si>
    <t>RQF1 GCSE(below grade C) &amp; equivalent</t>
  </si>
  <si>
    <t>Wearing apparel; Leather, etc</t>
  </si>
  <si>
    <t>Electricity and gas</t>
  </si>
  <si>
    <t>Non-marketed services</t>
  </si>
  <si>
    <t>24 Business, media and public service professionals</t>
  </si>
  <si>
    <t>Caring, leisure and other service occupations</t>
  </si>
  <si>
    <t>No Qualification</t>
  </si>
  <si>
    <t xml:space="preserve">Wood and cork </t>
  </si>
  <si>
    <t>Water and sewerage</t>
  </si>
  <si>
    <t xml:space="preserve"> </t>
  </si>
  <si>
    <t>31 Science, engineering and technology associate professionals</t>
  </si>
  <si>
    <t>Sales and customer service occupations</t>
  </si>
  <si>
    <t>Paper, etc</t>
  </si>
  <si>
    <t>32 Health and social care associate professionals</t>
  </si>
  <si>
    <t>Process, plant and machine operatives</t>
  </si>
  <si>
    <t>Printing and recording</t>
  </si>
  <si>
    <t>Wholesale and retail trade</t>
  </si>
  <si>
    <t>33 Protective service occupations</t>
  </si>
  <si>
    <t>Elementary occupations</t>
  </si>
  <si>
    <t>Coke and petroleum; Chemicals, etc</t>
  </si>
  <si>
    <t>Transport and storage</t>
  </si>
  <si>
    <t>34 Culture, media and sports occupations</t>
  </si>
  <si>
    <t>Pharmaceuticals</t>
  </si>
  <si>
    <t>Accommodation and food</t>
  </si>
  <si>
    <t>35 Business and public service associate professionals</t>
  </si>
  <si>
    <t>Rubber and plastic</t>
  </si>
  <si>
    <t>Media</t>
  </si>
  <si>
    <t>41 Administrative occupations</t>
  </si>
  <si>
    <t>Other non-metallic</t>
  </si>
  <si>
    <t>Information technology</t>
  </si>
  <si>
    <t>42 Secretarial and related occupations</t>
  </si>
  <si>
    <t>Basic metals</t>
  </si>
  <si>
    <t>Finance and insurance</t>
  </si>
  <si>
    <t>51 Skilled agricultural and related trades</t>
  </si>
  <si>
    <t>Metal products</t>
  </si>
  <si>
    <t>Real estate</t>
  </si>
  <si>
    <t>52 Skilled metal, electrical and electronic trades</t>
  </si>
  <si>
    <t>Computer, etc</t>
  </si>
  <si>
    <t>Professional services</t>
  </si>
  <si>
    <t>53 Skilled construction and building trades</t>
  </si>
  <si>
    <t>Electrical equipment</t>
  </si>
  <si>
    <t>Support services</t>
  </si>
  <si>
    <t>54 Textiles, printing and other skilled trades</t>
  </si>
  <si>
    <t>Machinery n.e.c.</t>
  </si>
  <si>
    <t>Public admin. and defence</t>
  </si>
  <si>
    <t>61 Caring personal service occupations</t>
  </si>
  <si>
    <t>Motor vehicles, etc</t>
  </si>
  <si>
    <t>Education</t>
  </si>
  <si>
    <t>62 Leisure, travel and related personal service occupations</t>
  </si>
  <si>
    <t>Other transport equipment</t>
  </si>
  <si>
    <t>Health and social work</t>
  </si>
  <si>
    <t>63 Community and civil enforcement occupations</t>
  </si>
  <si>
    <t>Furniture</t>
  </si>
  <si>
    <t>Arts and entertainment</t>
  </si>
  <si>
    <t>71 Sales occupations</t>
  </si>
  <si>
    <t>Other manufacturing</t>
  </si>
  <si>
    <t>Other services</t>
  </si>
  <si>
    <t>72 Customer service occupations</t>
  </si>
  <si>
    <t>Repair and installation</t>
  </si>
  <si>
    <t>81 Process, plant and machine operatives</t>
  </si>
  <si>
    <t>Electricity, gas, etc</t>
  </si>
  <si>
    <t>82 Transport and mobile machine drivers and operatives</t>
  </si>
  <si>
    <t>Water</t>
  </si>
  <si>
    <t>91 Elementary trades and related occupations</t>
  </si>
  <si>
    <t>Sewerage</t>
  </si>
  <si>
    <t>92 Elementary administration and service occupations</t>
  </si>
  <si>
    <t>Waste management</t>
  </si>
  <si>
    <t>Civil engineering</t>
  </si>
  <si>
    <t>Specialised construction</t>
  </si>
  <si>
    <t>Motor vehicle trade</t>
  </si>
  <si>
    <t>Wholesale trade</t>
  </si>
  <si>
    <t>Retail trade</t>
  </si>
  <si>
    <t>Land transport, etc</t>
  </si>
  <si>
    <t>Water transport</t>
  </si>
  <si>
    <t>Air transport</t>
  </si>
  <si>
    <t>Warehousing, etc</t>
  </si>
  <si>
    <t>Postal and courier</t>
  </si>
  <si>
    <t>Accommodation</t>
  </si>
  <si>
    <t>Food and beverage services</t>
  </si>
  <si>
    <t>Publishing activities</t>
  </si>
  <si>
    <t>Film and music</t>
  </si>
  <si>
    <t>Broadcasting</t>
  </si>
  <si>
    <t>Telecommunications</t>
  </si>
  <si>
    <t>Computing services</t>
  </si>
  <si>
    <t>Information services</t>
  </si>
  <si>
    <t>Financial services</t>
  </si>
  <si>
    <t>Insurance and pensions</t>
  </si>
  <si>
    <t>Auxiliary financial services</t>
  </si>
  <si>
    <t>Legal and accounting</t>
  </si>
  <si>
    <t>Head offices, etc</t>
  </si>
  <si>
    <t>Architectural and related</t>
  </si>
  <si>
    <t>Scientific research and development</t>
  </si>
  <si>
    <t>Advertising, etc</t>
  </si>
  <si>
    <t>Other professional</t>
  </si>
  <si>
    <t>Veterinary</t>
  </si>
  <si>
    <t>Rental and leasing</t>
  </si>
  <si>
    <t>Employment activities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</si>
  <si>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</si>
  <si>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</si>
  <si>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</si>
  <si>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</si>
  <si>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</si>
  <si>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</si>
  <si>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Health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</si>
  <si>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</si>
  <si>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</si>
  <si>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</si>
  <si>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</si>
  <si>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</si>
  <si>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</si>
  <si>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</si>
  <si>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</si>
  <si>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Aggregation of 75 detailed industries to 22 Industry groups</t>
  </si>
  <si>
    <t>Industry Group [SIC2007]</t>
  </si>
  <si>
    <t>Ind75 industry [SIC2007]</t>
  </si>
  <si>
    <t>Agriculture [01-03]</t>
  </si>
  <si>
    <t>Agriculture, etc [01-03]</t>
  </si>
  <si>
    <t>Mining and quarrying [05-09]</t>
  </si>
  <si>
    <t>Coal, oil &amp; gas; Mining &amp; related [05-09]</t>
  </si>
  <si>
    <t>Food drink and tobacco [10-12]</t>
  </si>
  <si>
    <t>Food products [10]</t>
  </si>
  <si>
    <t>Beverages &amp; tobacco [11-12]</t>
  </si>
  <si>
    <t>Engineering [26-28]</t>
  </si>
  <si>
    <t>Computers, etc [26]</t>
  </si>
  <si>
    <t>Electrical equipment [27]</t>
  </si>
  <si>
    <t>Machinery, etc [28]</t>
  </si>
  <si>
    <t>Rest of manufacturing [13-25,29-33]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</si>
  <si>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</si>
  <si>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</si>
  <si>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</si>
  <si>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</si>
  <si>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</si>
  <si>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</si>
  <si>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Pharmaceuticals [21]</t>
  </si>
  <si>
    <t>Rubber &amp; plastic [22]</t>
  </si>
  <si>
    <t>Other non-metallic [23]</t>
  </si>
  <si>
    <t>Basic metals [24]</t>
  </si>
  <si>
    <t>Metal products [25]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</si>
  <si>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</si>
  <si>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</si>
  <si>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</si>
  <si>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</si>
  <si>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</si>
  <si>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</si>
  <si>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</si>
  <si>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</si>
  <si>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</si>
  <si>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</si>
  <si>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</si>
  <si>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[41-43]</t>
  </si>
  <si>
    <t>Construction [41]</t>
  </si>
  <si>
    <t>Civil engineering [42]</t>
  </si>
  <si>
    <t>Specialised construction [43]</t>
  </si>
  <si>
    <t>Wholesale and retail trade [45-47]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</si>
  <si>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</si>
  <si>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</si>
  <si>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</si>
  <si>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</si>
  <si>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</si>
  <si>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</si>
  <si>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</si>
  <si>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</si>
  <si>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</si>
  <si>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</si>
  <si>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</si>
  <si>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</si>
  <si>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Media [58-60]</t>
  </si>
  <si>
    <t>Publishing activities [58]</t>
  </si>
  <si>
    <t>Film &amp;  music [59]</t>
  </si>
  <si>
    <t>Broadcasting [60]</t>
  </si>
  <si>
    <t>Information technology [61-63]</t>
  </si>
  <si>
    <t>Telecommunications [61]</t>
  </si>
  <si>
    <t>Computer programming, etc [62]</t>
  </si>
  <si>
    <t>Information services [63]</t>
  </si>
  <si>
    <t>Finance and insurance [64-66]</t>
  </si>
  <si>
    <t>Financial services [64]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</si>
  <si>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</si>
  <si>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</si>
  <si>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</si>
  <si>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</si>
  <si>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</si>
  <si>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</si>
  <si>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</si>
  <si>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</si>
  <si>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</si>
  <si>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</si>
  <si>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</si>
  <si>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</si>
  <si>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</si>
  <si>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Employment activities [78]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</si>
  <si>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</si>
  <si>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</si>
  <si>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</si>
  <si>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</si>
  <si>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</si>
  <si>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</si>
  <si>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Education [85]</t>
  </si>
  <si>
    <t>Health and social work [86-88]</t>
  </si>
  <si>
    <t>Health [86]</t>
  </si>
  <si>
    <t>Residential care [87]</t>
  </si>
  <si>
    <t>Social work [88]</t>
  </si>
  <si>
    <t>Arts and entertainment [90-93]</t>
  </si>
  <si>
    <t>Arts &amp; entertainment [90]</t>
  </si>
  <si>
    <t>Libraries, etc [91]</t>
  </si>
  <si>
    <t>Gambling [92]</t>
  </si>
  <si>
    <t>Sport &amp; recreation [93]</t>
  </si>
  <si>
    <t>Other services [94-99]</t>
  </si>
  <si>
    <t>Membership organisations [94]</t>
  </si>
  <si>
    <t>Repair of  goods [95]</t>
  </si>
  <si>
    <t>Other personal service [96-99]</t>
  </si>
  <si>
    <t>Aggregation of 75 detailed industries to 6 Broad industrial sectors</t>
  </si>
  <si>
    <t>Broad industry [SIC2007]</t>
  </si>
  <si>
    <t>Primary sector and utilities [01-09,35-39]</t>
  </si>
  <si>
    <t>Manufacturing [10-33]</t>
  </si>
  <si>
    <t>Trade, accomod. and transport [45-56]</t>
  </si>
  <si>
    <t>Business and other services [58-82,90-99]</t>
  </si>
  <si>
    <t>Non-market services [84-88]</t>
  </si>
  <si>
    <t>Aggregation of 22 industry groups to 6 Broad industrial sectors</t>
  </si>
  <si>
    <t>Aggregation of 26-Sub major occupation groups to 9-Major occupation groups</t>
  </si>
  <si>
    <t>9-Occupation (SOC2010)</t>
  </si>
  <si>
    <t>26-Occupation (SOC2020)</t>
  </si>
  <si>
    <t>Aggregation of 9-Qualifications to 6-Qualification groups</t>
  </si>
  <si>
    <t>6-Qualification groups (QCF)</t>
  </si>
  <si>
    <t>6-Qualifications (QCF)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</si>
</sst>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.00_-;\-* #,##0.00_-;_-* &quot;-&quot;??_-;_-@_-"/>
    <numFmt numFmtId="165" formatCode="0.0"/>
    <numFmt numFmtId="166" formatCode="0.00000"/>
    <numFmt numFmtId="167" formatCode="#,##0.0"/>
    <numFmt numFmtId="168" formatCode="0.0%"/>
    <numFmt numFmtId="169" formatCode="_-* #,##0_-;\-* #,##0_-;_-* &quot;-&quot;??_-;_-@_-"/>
    <numFmt numFmtId="170" formatCode="_-* #,##0.00000_-;\-* #,##0.00000_-;_-* &quot;-&quot;??_-;_-@_-"/>
    <numFmt numFmtId="171" formatCode="0.000000"/>
  </numFmts>
  <fonts count="35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164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85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0" fontId="5" fillId="0" borderId="11" xfId="0" applyFont="1" applyBorder="1"/>
    <xf numFmtId="0" fontId="10" fillId="0" borderId="0" xfId="0" applyFont="1"/>
    <xf numFmtId="3" fontId="10" fillId="0" borderId="0" xfId="0" applyNumberFormat="1" applyFont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165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5" fontId="0" fillId="0" borderId="10" xfId="0" applyNumberFormat="1" applyBorder="1"/>
    <xf numFmtId="165" fontId="10" fillId="0" borderId="0" xfId="0" applyNumberFormat="1" applyFont="1"/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7" fontId="0" fillId="0" borderId="10" xfId="0" applyNumberFormat="1" applyBorder="1"/>
    <xf numFmtId="167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8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5" fontId="3" fillId="0" borderId="0" xfId="4" applyNumberFormat="1"/>
    <xf numFmtId="165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5" fontId="15" fillId="0" borderId="0" xfId="5" applyNumberFormat="1"/>
    <xf numFmtId="165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5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0" fontId="15" fillId="0" borderId="0" xfId="5" applyAlignment="1">
      <alignment vertical="top" wrapText="1"/>
    </xf>
    <xf numFmtId="170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8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5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5" fillId="0" borderId="11" xfId="0" applyNumberFormat="1" applyFont="1" applyBorder="1"/>
    <xf numFmtId="168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5" fontId="3" fillId="0" borderId="0" xfId="3" applyNumberFormat="1" applyFont="1" applyAlignment="1">
      <alignment horizontal="right"/>
    </xf>
    <xf numFmtId="165" fontId="3" fillId="0" borderId="0" xfId="16" applyNumberFormat="1" applyFont="1" applyAlignment="1">
      <alignment horizontal="right"/>
    </xf>
    <xf numFmtId="165" fontId="3" fillId="0" borderId="10" xfId="16" applyNumberFormat="1" applyFont="1" applyBorder="1" applyAlignment="1">
      <alignment horizontal="right"/>
    </xf>
    <xf numFmtId="167" fontId="3" fillId="0" borderId="0" xfId="3" applyNumberFormat="1" applyFont="1"/>
    <xf numFmtId="167" fontId="3" fillId="0" borderId="0" xfId="15" applyNumberFormat="1" applyFont="1"/>
    <xf numFmtId="167" fontId="3" fillId="0" borderId="0" xfId="4" applyNumberFormat="1"/>
    <xf numFmtId="167" fontId="3" fillId="0" borderId="10" xfId="4" applyNumberFormat="1" applyBorder="1"/>
    <xf numFmtId="167" fontId="3" fillId="0" borderId="10" xfId="15" applyNumberFormat="1" applyFont="1" applyBorder="1"/>
    <xf numFmtId="166" fontId="3" fillId="0" borderId="0" xfId="15" applyNumberFormat="1" applyFont="1"/>
    <xf numFmtId="171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5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5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8" fontId="3" fillId="0" borderId="0" xfId="11" applyNumberFormat="1" applyFont="1" applyAlignment="1">
      <alignment wrapText="1"/>
    </xf>
    <xf numFmtId="0" fontId="10" fillId="0" borderId="10" xfId="0" applyFont="1" applyBorder="1"/>
    <xf numFmtId="168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8" fontId="3" fillId="0" borderId="10" xfId="10" applyNumberFormat="1" applyFont="1" applyBorder="1" applyAlignment="1">
      <alignment wrapText="1"/>
    </xf>
    <xf numFmtId="165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8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22" fontId="0" fillId="0" borderId="0" xfId="0" applyNumberForma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5" fillId="0" borderId="0" xfId="4" applyFont="1" applyAlignment="1">
      <alignment horizontal="center"/>
    </xf>
    <xf numFmtId="0" fontId="5" fillId="0" borderId="11" xfId="4" applyFont="1" applyBorder="1" applyAlignment="1">
      <alignment horizontal="center"/>
    </xf>
    <xf numFmtId="0" fontId="14" fillId="0" borderId="0" xfId="0" applyFont="1" applyAlignment="1">
      <alignment horizontal="left" vertical="top" wrapText="1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5" fillId="0" borderId="9" xfId="4" applyFont="1" applyBorder="1" applyAlignment="1">
      <alignment horizontal="center"/>
    </xf>
    <xf numFmtId="165" fontId="3" fillId="0" borderId="10" xfId="3" applyNumberFormat="1" applyFont="1" applyBorder="1"/>
    <xf numFmtId="3" fontId="3" fillId="0" borderId="10" xfId="3" applyNumberFormat="1" applyFont="1" applyBorder="1"/>
    <xf numFmtId="3" fontId="3" fillId="0" borderId="0" xfId="0" applyNumberFormat="1" applyFont="1"/>
    <xf numFmtId="0" fontId="3" fillId="0" borderId="10" xfId="0" applyFont="1" applyBorder="1"/>
    <xf numFmtId="3" fontId="3" fillId="0" borderId="10" xfId="0" applyNumberFormat="1" applyFont="1" applyBorder="1"/>
    <xf numFmtId="0" fontId="3" fillId="0" borderId="0" xfId="0" applyFont="1" applyAlignment="1">
      <alignment horizontal="left"/>
    </xf>
    <xf numFmtId="165" fontId="3" fillId="0" borderId="11" xfId="3" applyNumberFormat="1" applyFont="1" applyBorder="1"/>
    <xf numFmtId="2" fontId="3" fillId="0" borderId="0" xfId="3" applyNumberFormat="1" applyFont="1"/>
    <xf numFmtId="167" fontId="3" fillId="0" borderId="10" xfId="3" applyNumberFormat="1" applyFont="1" applyBorder="1"/>
    <xf numFmtId="165" fontId="3" fillId="0" borderId="0" xfId="0" applyNumberFormat="1" applyFont="1"/>
    <xf numFmtId="165" fontId="3" fillId="0" borderId="10" xfId="0" applyNumberFormat="1" applyFont="1" applyBorder="1"/>
    <xf numFmtId="0" fontId="3" fillId="0" borderId="11" xfId="0" applyFont="1" applyBorder="1"/>
    <xf numFmtId="0" fontId="3" fillId="0" borderId="11" xfId="0" applyFont="1" applyBorder="1" applyAlignment="1">
      <alignment horizontal="center" wrapText="1"/>
    </xf>
    <xf numFmtId="1" fontId="3" fillId="0" borderId="11" xfId="0" applyNumberFormat="1" applyFont="1" applyBorder="1" applyAlignment="1">
      <alignment horizontal="center" wrapText="1"/>
    </xf>
    <xf numFmtId="167" fontId="3" fillId="0" borderId="0" xfId="1" applyNumberFormat="1" applyFont="1" applyBorder="1"/>
    <xf numFmtId="167" fontId="3" fillId="0" borderId="0" xfId="1" applyNumberFormat="1" applyFont="1"/>
    <xf numFmtId="167" fontId="3" fillId="0" borderId="0" xfId="0" applyNumberFormat="1" applyFont="1"/>
    <xf numFmtId="167" fontId="3" fillId="0" borderId="10" xfId="1" applyNumberFormat="1" applyFont="1" applyBorder="1"/>
    <xf numFmtId="167" fontId="3" fillId="0" borderId="10" xfId="0" applyNumberFormat="1" applyFont="1" applyBorder="1"/>
    <xf numFmtId="0" fontId="3" fillId="0" borderId="11" xfId="0" applyFont="1" applyBorder="1" applyAlignment="1">
      <alignment horizontal="center"/>
    </xf>
    <xf numFmtId="169" fontId="1" fillId="0" borderId="0" xfId="1" applyNumberFormat="1" applyFont="1" applyFill="1" applyBorder="1"/>
    <xf numFmtId="169" fontId="1" fillId="0" borderId="0" xfId="1" applyNumberFormat="1" applyFont="1" applyFill="1"/>
    <xf numFmtId="169" fontId="1" fillId="0" borderId="0" xfId="1" applyNumberFormat="1" applyFont="1"/>
    <xf numFmtId="169" fontId="1" fillId="0" borderId="10" xfId="1" applyNumberFormat="1" applyFont="1" applyFill="1" applyBorder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 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-0.37337526450474945</c:v>
                </c:pt>
                <c:pt idx="2">
                  <c:v>3.3504114333352319</c:v>
                </c:pt>
                <c:pt idx="3">
                  <c:v>0.11266705941843647</c:v>
                </c:pt>
                <c:pt idx="4">
                  <c:v>-0.91907005465536873</c:v>
                </c:pt>
                <c:pt idx="5">
                  <c:v>1.659022200727156</c:v>
                </c:pt>
                <c:pt idx="7">
                  <c:v>-4.6461918152839843</c:v>
                </c:pt>
                <c:pt idx="8">
                  <c:v>1.3439505911660987E-2</c:v>
                </c:pt>
                <c:pt idx="9">
                  <c:v>-4.3794892507492804</c:v>
                </c:pt>
                <c:pt idx="10">
                  <c:v>-2.8612738674501315</c:v>
                </c:pt>
                <c:pt idx="11">
                  <c:v>5.8041699319459683</c:v>
                </c:pt>
                <c:pt idx="12">
                  <c:v>0.43075771892968628</c:v>
                </c:pt>
                <c:pt idx="13">
                  <c:v>1.004398233108228</c:v>
                </c:pt>
                <c:pt idx="14">
                  <c:v>4.317919695720529</c:v>
                </c:pt>
                <c:pt idx="15">
                  <c:v>-2.0137012202789295</c:v>
                </c:pt>
                <c:pt idx="17">
                  <c:v>2.4315646878178221</c:v>
                </c:pt>
                <c:pt idx="18">
                  <c:v>-0.30613985664941223</c:v>
                </c:pt>
                <c:pt idx="19">
                  <c:v>-1.1087550815140457</c:v>
                </c:pt>
                <c:pt idx="20">
                  <c:v>-0.36967947018967662</c:v>
                </c:pt>
                <c:pt idx="22">
                  <c:v>3.1077352720810802</c:v>
                </c:pt>
                <c:pt idx="24">
                  <c:v>-1.7105723243751147</c:v>
                </c:pt>
                <c:pt idx="25">
                  <c:v>1.2745642296062787</c:v>
                </c:pt>
                <c:pt idx="26">
                  <c:v>-2.1280238829763709</c:v>
                </c:pt>
                <c:pt idx="27">
                  <c:v>-1.4328664326009655</c:v>
                </c:pt>
                <c:pt idx="29">
                  <c:v>-2.571150201875505</c:v>
                </c:pt>
                <c:pt idx="30">
                  <c:v>-17.715115116248835</c:v>
                </c:pt>
                <c:pt idx="31">
                  <c:v>-0.87953363884922808</c:v>
                </c:pt>
                <c:pt idx="32">
                  <c:v>-17.766261616063073</c:v>
                </c:pt>
                <c:pt idx="33">
                  <c:v>-11.097776560099105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0.33785827979149197</c:v>
                </c:pt>
                <c:pt idx="2">
                  <c:v>0.82663545718058007</c:v>
                </c:pt>
                <c:pt idx="3">
                  <c:v>0.58235672652706683</c:v>
                </c:pt>
                <c:pt idx="4">
                  <c:v>0.40041978615537044</c:v>
                </c:pt>
                <c:pt idx="5">
                  <c:v>0.69566210813678531</c:v>
                </c:pt>
                <c:pt idx="7">
                  <c:v>-0.18359253748903015</c:v>
                </c:pt>
                <c:pt idx="8">
                  <c:v>2.4028950014032269E-2</c:v>
                </c:pt>
                <c:pt idx="9">
                  <c:v>0.69374342982506665</c:v>
                </c:pt>
                <c:pt idx="10">
                  <c:v>0.56082936389392213</c:v>
                </c:pt>
                <c:pt idx="11">
                  <c:v>0.62192110201610973</c:v>
                </c:pt>
                <c:pt idx="12">
                  <c:v>-0.25148190668479176</c:v>
                </c:pt>
                <c:pt idx="13">
                  <c:v>0.48468443215556878</c:v>
                </c:pt>
                <c:pt idx="14">
                  <c:v>-1.2649425067379205E-2</c:v>
                </c:pt>
                <c:pt idx="15">
                  <c:v>0.37837864603122995</c:v>
                </c:pt>
                <c:pt idx="17">
                  <c:v>1.1564792740077046</c:v>
                </c:pt>
                <c:pt idx="18">
                  <c:v>0.91311881014868312</c:v>
                </c:pt>
                <c:pt idx="19">
                  <c:v>0.13417283261338842</c:v>
                </c:pt>
                <c:pt idx="20">
                  <c:v>0.49954649968431131</c:v>
                </c:pt>
                <c:pt idx="22">
                  <c:v>7.7920169124223726E-2</c:v>
                </c:pt>
                <c:pt idx="24">
                  <c:v>-0.92945995550866023</c:v>
                </c:pt>
                <c:pt idx="25">
                  <c:v>-0.29741418690557575</c:v>
                </c:pt>
                <c:pt idx="26">
                  <c:v>-0.11526556315363257</c:v>
                </c:pt>
                <c:pt idx="27">
                  <c:v>-0.76949802181702776</c:v>
                </c:pt>
                <c:pt idx="29">
                  <c:v>0.41708541045613057</c:v>
                </c:pt>
                <c:pt idx="30">
                  <c:v>-0.53724519762726741</c:v>
                </c:pt>
                <c:pt idx="31">
                  <c:v>-5.8253698205932185</c:v>
                </c:pt>
                <c:pt idx="32">
                  <c:v>0.5742402872390695</c:v>
                </c:pt>
                <c:pt idx="33">
                  <c:v>9.4021859132298324E-2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3.7519999999999949</c:v>
                </c:pt>
                <c:pt idx="1">
                  <c:v>2.9549999999999996</c:v>
                </c:pt>
                <c:pt idx="2">
                  <c:v>3.4950000000000019</c:v>
                </c:pt>
                <c:pt idx="3">
                  <c:v>1.8159999999999972</c:v>
                </c:pt>
                <c:pt idx="4">
                  <c:v>2.237000000000001</c:v>
                </c:pt>
                <c:pt idx="5">
                  <c:v>2.9649999999999994</c:v>
                </c:pt>
                <c:pt idx="6">
                  <c:v>2.134999999999998</c:v>
                </c:pt>
                <c:pt idx="7">
                  <c:v>1.8659999999999966</c:v>
                </c:pt>
                <c:pt idx="8">
                  <c:v>3.2789999999999977</c:v>
                </c:pt>
                <c:pt idx="9">
                  <c:v>2.2860000000000018</c:v>
                </c:pt>
                <c:pt idx="10">
                  <c:v>1.1150000000000004</c:v>
                </c:pt>
                <c:pt idx="11">
                  <c:v>1.1379999999999997</c:v>
                </c:pt>
                <c:pt idx="12">
                  <c:v>1.1599999999999979</c:v>
                </c:pt>
                <c:pt idx="13">
                  <c:v>1.1909999999999987</c:v>
                </c:pt>
                <c:pt idx="14">
                  <c:v>1.2129999999999992</c:v>
                </c:pt>
                <c:pt idx="15">
                  <c:v>1.2120000000000004</c:v>
                </c:pt>
                <c:pt idx="16">
                  <c:v>1.2130000000000012</c:v>
                </c:pt>
                <c:pt idx="17">
                  <c:v>1.2119999999999982</c:v>
                </c:pt>
                <c:pt idx="18">
                  <c:v>1.2119999999999995</c:v>
                </c:pt>
                <c:pt idx="19">
                  <c:v>1.2100000000000029</c:v>
                </c:pt>
                <c:pt idx="20">
                  <c:v>1.2119999999999971</c:v>
                </c:pt>
                <c:pt idx="21">
                  <c:v>1.213000000000001</c:v>
                </c:pt>
                <c:pt idx="22">
                  <c:v>1.2140000000000029</c:v>
                </c:pt>
                <c:pt idx="23">
                  <c:v>1.2150000000000016</c:v>
                </c:pt>
                <c:pt idx="24" formatCode="#,##0.00">
                  <c:v>1.2150000000000003</c:v>
                </c:pt>
                <c:pt idx="25">
                  <c:v>1.214999999999997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5.7999999999999989E-2</c:v>
                </c:pt>
                <c:pt idx="1">
                  <c:v>2.199999999999995E-2</c:v>
                </c:pt>
                <c:pt idx="2">
                  <c:v>0.37600000000000039</c:v>
                </c:pt>
                <c:pt idx="3">
                  <c:v>0</c:v>
                </c:pt>
                <c:pt idx="4">
                  <c:v>1.0000000000000002E-2</c:v>
                </c:pt>
                <c:pt idx="5">
                  <c:v>0.16200000000000025</c:v>
                </c:pt>
                <c:pt idx="6">
                  <c:v>0</c:v>
                </c:pt>
                <c:pt idx="7">
                  <c:v>2.3999999999999942E-2</c:v>
                </c:pt>
                <c:pt idx="8">
                  <c:v>0.23600000000000002</c:v>
                </c:pt>
                <c:pt idx="9">
                  <c:v>0.14499999999999991</c:v>
                </c:pt>
                <c:pt idx="10">
                  <c:v>0.15500000000000022</c:v>
                </c:pt>
                <c:pt idx="11">
                  <c:v>0.14199999999999968</c:v>
                </c:pt>
                <c:pt idx="12">
                  <c:v>0.13600000000000037</c:v>
                </c:pt>
                <c:pt idx="13">
                  <c:v>0.126</c:v>
                </c:pt>
                <c:pt idx="14">
                  <c:v>0.11700000000000006</c:v>
                </c:pt>
                <c:pt idx="15">
                  <c:v>0.10899999999999997</c:v>
                </c:pt>
                <c:pt idx="16">
                  <c:v>0.10200000000000015</c:v>
                </c:pt>
                <c:pt idx="17">
                  <c:v>9.5999999999999808E-2</c:v>
                </c:pt>
                <c:pt idx="18">
                  <c:v>9.0999999999999928E-2</c:v>
                </c:pt>
                <c:pt idx="19">
                  <c:v>8.5999999999999993E-2</c:v>
                </c:pt>
                <c:pt idx="20">
                  <c:v>8.0999999999999767E-2</c:v>
                </c:pt>
                <c:pt idx="21">
                  <c:v>7.7000000000000124E-2</c:v>
                </c:pt>
                <c:pt idx="22">
                  <c:v>7.3000000000000093E-2</c:v>
                </c:pt>
                <c:pt idx="23">
                  <c:v>6.9000000000000117E-2</c:v>
                </c:pt>
                <c:pt idx="24" formatCode="#,##0.00">
                  <c:v>6.5999999999999989E-2</c:v>
                </c:pt>
                <c:pt idx="25">
                  <c:v>6.2999999999999945E-2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5.7300000000000155</c:v>
                </c:pt>
                <c:pt idx="1">
                  <c:v>5.0710000000000006</c:v>
                </c:pt>
                <c:pt idx="2">
                  <c:v>5.1229999999999993</c:v>
                </c:pt>
                <c:pt idx="3">
                  <c:v>5.0430000000000064</c:v>
                </c:pt>
                <c:pt idx="4">
                  <c:v>4.8650000000000029</c:v>
                </c:pt>
                <c:pt idx="5">
                  <c:v>5.225000000000005</c:v>
                </c:pt>
                <c:pt idx="6">
                  <c:v>5.6549999999999923</c:v>
                </c:pt>
                <c:pt idx="7">
                  <c:v>5.4660000000000153</c:v>
                </c:pt>
                <c:pt idx="8">
                  <c:v>2.0090000000000008</c:v>
                </c:pt>
                <c:pt idx="9">
                  <c:v>1.7090000000000003</c:v>
                </c:pt>
                <c:pt idx="10">
                  <c:v>1.9709999999999988</c:v>
                </c:pt>
                <c:pt idx="11">
                  <c:v>1.9319999999999993</c:v>
                </c:pt>
                <c:pt idx="12">
                  <c:v>1.8809999999999987</c:v>
                </c:pt>
                <c:pt idx="13">
                  <c:v>1.8669999999999993</c:v>
                </c:pt>
                <c:pt idx="14">
                  <c:v>1.860999999999998</c:v>
                </c:pt>
                <c:pt idx="15">
                  <c:v>1.8559999999999983</c:v>
                </c:pt>
                <c:pt idx="16">
                  <c:v>1.8499999999999959</c:v>
                </c:pt>
                <c:pt idx="17">
                  <c:v>1.8449999999999964</c:v>
                </c:pt>
                <c:pt idx="18">
                  <c:v>1.8389999999999975</c:v>
                </c:pt>
                <c:pt idx="19">
                  <c:v>1.8349999999999949</c:v>
                </c:pt>
                <c:pt idx="20">
                  <c:v>1.8310000000000013</c:v>
                </c:pt>
                <c:pt idx="21">
                  <c:v>1.828000000000003</c:v>
                </c:pt>
                <c:pt idx="22">
                  <c:v>1.826000000000001</c:v>
                </c:pt>
                <c:pt idx="23">
                  <c:v>1.8229999999999993</c:v>
                </c:pt>
                <c:pt idx="24" formatCode="#,##0.00">
                  <c:v>1.8199999999999996</c:v>
                </c:pt>
                <c:pt idx="25">
                  <c:v>1.8180000000000041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4.1119999999999974</c:v>
                </c:pt>
                <c:pt idx="1">
                  <c:v>3.8409999999999953</c:v>
                </c:pt>
                <c:pt idx="2">
                  <c:v>3.6850000000000072</c:v>
                </c:pt>
                <c:pt idx="3">
                  <c:v>2.9519999999999964</c:v>
                </c:pt>
                <c:pt idx="4">
                  <c:v>4.0239999999999956</c:v>
                </c:pt>
                <c:pt idx="5">
                  <c:v>4.3319999999999785</c:v>
                </c:pt>
                <c:pt idx="6">
                  <c:v>3.6979999999999982</c:v>
                </c:pt>
                <c:pt idx="7">
                  <c:v>4.2409999999999961</c:v>
                </c:pt>
                <c:pt idx="8">
                  <c:v>4.3959999999999928</c:v>
                </c:pt>
                <c:pt idx="9">
                  <c:v>4.4060000000000006</c:v>
                </c:pt>
                <c:pt idx="10">
                  <c:v>3.8029999999999959</c:v>
                </c:pt>
                <c:pt idx="11">
                  <c:v>3.6980000000000031</c:v>
                </c:pt>
                <c:pt idx="12">
                  <c:v>3.6619999999999968</c:v>
                </c:pt>
                <c:pt idx="13">
                  <c:v>3.6900000000000115</c:v>
                </c:pt>
                <c:pt idx="14">
                  <c:v>3.8350000000000071</c:v>
                </c:pt>
                <c:pt idx="15">
                  <c:v>3.9129999999999989</c:v>
                </c:pt>
                <c:pt idx="16">
                  <c:v>3.9670000000000063</c:v>
                </c:pt>
                <c:pt idx="17">
                  <c:v>4.0009999999999959</c:v>
                </c:pt>
                <c:pt idx="18">
                  <c:v>4.0210000000000097</c:v>
                </c:pt>
                <c:pt idx="19">
                  <c:v>4.033000000000019</c:v>
                </c:pt>
                <c:pt idx="20">
                  <c:v>4.0399999999999956</c:v>
                </c:pt>
                <c:pt idx="21">
                  <c:v>4.0449999999999982</c:v>
                </c:pt>
                <c:pt idx="22">
                  <c:v>4.0470000000000033</c:v>
                </c:pt>
                <c:pt idx="23">
                  <c:v>4.0479999999999965</c:v>
                </c:pt>
                <c:pt idx="24" formatCode="#,##0.00">
                  <c:v>4.049000000000003</c:v>
                </c:pt>
                <c:pt idx="25">
                  <c:v>4.0479999999999894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6.2319999999999949</c:v>
                </c:pt>
                <c:pt idx="1">
                  <c:v>6.305000000000013</c:v>
                </c:pt>
                <c:pt idx="2">
                  <c:v>6.2099999999999893</c:v>
                </c:pt>
                <c:pt idx="3">
                  <c:v>6.3400000000000167</c:v>
                </c:pt>
                <c:pt idx="4">
                  <c:v>7.092000000000005</c:v>
                </c:pt>
                <c:pt idx="5">
                  <c:v>7.0119999999999845</c:v>
                </c:pt>
                <c:pt idx="6">
                  <c:v>7.2139999999999747</c:v>
                </c:pt>
                <c:pt idx="7">
                  <c:v>6.3239999999999794</c:v>
                </c:pt>
                <c:pt idx="8">
                  <c:v>6.2050000000000045</c:v>
                </c:pt>
                <c:pt idx="9">
                  <c:v>6.3419999999999961</c:v>
                </c:pt>
                <c:pt idx="10">
                  <c:v>6.2970000000000033</c:v>
                </c:pt>
                <c:pt idx="11">
                  <c:v>6.3039999999999976</c:v>
                </c:pt>
                <c:pt idx="12">
                  <c:v>6.3139999999999761</c:v>
                </c:pt>
                <c:pt idx="13">
                  <c:v>6.353999999999993</c:v>
                </c:pt>
                <c:pt idx="14">
                  <c:v>6.356000000000007</c:v>
                </c:pt>
                <c:pt idx="15">
                  <c:v>6.3359999999999985</c:v>
                </c:pt>
                <c:pt idx="16">
                  <c:v>6.3270000000000071</c:v>
                </c:pt>
                <c:pt idx="17">
                  <c:v>6.3149999999999995</c:v>
                </c:pt>
                <c:pt idx="18">
                  <c:v>6.3009999999999824</c:v>
                </c:pt>
                <c:pt idx="19">
                  <c:v>6.284999999999985</c:v>
                </c:pt>
                <c:pt idx="20">
                  <c:v>6.2710000000000186</c:v>
                </c:pt>
                <c:pt idx="21">
                  <c:v>6.2559999999999842</c:v>
                </c:pt>
                <c:pt idx="22">
                  <c:v>6.2400000000000073</c:v>
                </c:pt>
                <c:pt idx="23">
                  <c:v>6.2239999999999966</c:v>
                </c:pt>
                <c:pt idx="24" formatCode="#,##0.00">
                  <c:v>6.2070000000000025</c:v>
                </c:pt>
                <c:pt idx="25">
                  <c:v>6.1889999999999805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8.2020000000000088</c:v>
                </c:pt>
                <c:pt idx="1">
                  <c:v>10.241999999999987</c:v>
                </c:pt>
                <c:pt idx="2">
                  <c:v>8.9029999999999987</c:v>
                </c:pt>
                <c:pt idx="3">
                  <c:v>7.9330000000000034</c:v>
                </c:pt>
                <c:pt idx="4">
                  <c:v>7.841000000000002</c:v>
                </c:pt>
                <c:pt idx="5">
                  <c:v>6.9600000000000088</c:v>
                </c:pt>
                <c:pt idx="6">
                  <c:v>7.6329999999999911</c:v>
                </c:pt>
                <c:pt idx="7">
                  <c:v>7.886000000000009</c:v>
                </c:pt>
                <c:pt idx="8">
                  <c:v>8.3750000000000338</c:v>
                </c:pt>
                <c:pt idx="9">
                  <c:v>8.166999999999998</c:v>
                </c:pt>
                <c:pt idx="10">
                  <c:v>7.4149999999999814</c:v>
                </c:pt>
                <c:pt idx="11">
                  <c:v>7.7769999999999984</c:v>
                </c:pt>
                <c:pt idx="12">
                  <c:v>7.7420000000000035</c:v>
                </c:pt>
                <c:pt idx="13">
                  <c:v>7.8459999999999859</c:v>
                </c:pt>
                <c:pt idx="14">
                  <c:v>7.8789999999999889</c:v>
                </c:pt>
                <c:pt idx="15">
                  <c:v>7.8680000000000101</c:v>
                </c:pt>
                <c:pt idx="16">
                  <c:v>7.7870000000000106</c:v>
                </c:pt>
                <c:pt idx="17">
                  <c:v>7.7049999999999912</c:v>
                </c:pt>
                <c:pt idx="18">
                  <c:v>7.6230000000000153</c:v>
                </c:pt>
                <c:pt idx="19">
                  <c:v>7.5419999999999936</c:v>
                </c:pt>
                <c:pt idx="20">
                  <c:v>7.4719999999999809</c:v>
                </c:pt>
                <c:pt idx="21">
                  <c:v>7.3980000000000015</c:v>
                </c:pt>
                <c:pt idx="22">
                  <c:v>7.3219999999999823</c:v>
                </c:pt>
                <c:pt idx="23">
                  <c:v>7.2450000000000063</c:v>
                </c:pt>
                <c:pt idx="24" formatCode="#,##0.00">
                  <c:v>7.1680000000000055</c:v>
                </c:pt>
                <c:pt idx="25">
                  <c:v>7.0909999999999993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54.814999999999934</c:v>
                </c:pt>
                <c:pt idx="1">
                  <c:v>53.714999999999982</c:v>
                </c:pt>
                <c:pt idx="2">
                  <c:v>54.60600000000013</c:v>
                </c:pt>
                <c:pt idx="3">
                  <c:v>55.423999999999943</c:v>
                </c:pt>
                <c:pt idx="4">
                  <c:v>55.784999999999698</c:v>
                </c:pt>
                <c:pt idx="5">
                  <c:v>54.686999999999863</c:v>
                </c:pt>
                <c:pt idx="6">
                  <c:v>50.178999999999732</c:v>
                </c:pt>
                <c:pt idx="7">
                  <c:v>51.472000000000129</c:v>
                </c:pt>
                <c:pt idx="8">
                  <c:v>52.64</c:v>
                </c:pt>
                <c:pt idx="9">
                  <c:v>54.775999999999925</c:v>
                </c:pt>
                <c:pt idx="10">
                  <c:v>50.167000000000066</c:v>
                </c:pt>
                <c:pt idx="11">
                  <c:v>50.920999999999921</c:v>
                </c:pt>
                <c:pt idx="12">
                  <c:v>50.062000000000126</c:v>
                </c:pt>
                <c:pt idx="13">
                  <c:v>49.264999999999795</c:v>
                </c:pt>
                <c:pt idx="14">
                  <c:v>48.851999999999954</c:v>
                </c:pt>
                <c:pt idx="15">
                  <c:v>48.283000000000023</c:v>
                </c:pt>
                <c:pt idx="16">
                  <c:v>47.716000000000008</c:v>
                </c:pt>
                <c:pt idx="17">
                  <c:v>47.123999999999953</c:v>
                </c:pt>
                <c:pt idx="18">
                  <c:v>46.562999999999903</c:v>
                </c:pt>
                <c:pt idx="19">
                  <c:v>46.036000000000136</c:v>
                </c:pt>
                <c:pt idx="20">
                  <c:v>45.585999999999906</c:v>
                </c:pt>
                <c:pt idx="21">
                  <c:v>45.132999999999882</c:v>
                </c:pt>
                <c:pt idx="22">
                  <c:v>44.710999999999906</c:v>
                </c:pt>
                <c:pt idx="23">
                  <c:v>44.315999999999946</c:v>
                </c:pt>
                <c:pt idx="24" formatCode="#,##0.00">
                  <c:v>43.947999999999837</c:v>
                </c:pt>
                <c:pt idx="25">
                  <c:v>43.609999999999978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35.561</c:v>
                </c:pt>
                <c:pt idx="1">
                  <c:v>32.781000000000013</c:v>
                </c:pt>
                <c:pt idx="2">
                  <c:v>32.984000000000016</c:v>
                </c:pt>
                <c:pt idx="3">
                  <c:v>31.037999999999954</c:v>
                </c:pt>
                <c:pt idx="4">
                  <c:v>27.869999999999987</c:v>
                </c:pt>
                <c:pt idx="5">
                  <c:v>31.762999999999966</c:v>
                </c:pt>
                <c:pt idx="6">
                  <c:v>29.73800000000001</c:v>
                </c:pt>
                <c:pt idx="7">
                  <c:v>30.231000000000048</c:v>
                </c:pt>
                <c:pt idx="8">
                  <c:v>38.885000000000076</c:v>
                </c:pt>
                <c:pt idx="9">
                  <c:v>39.074999999999896</c:v>
                </c:pt>
                <c:pt idx="10">
                  <c:v>37.014999999999908</c:v>
                </c:pt>
                <c:pt idx="11">
                  <c:v>36.344999999999956</c:v>
                </c:pt>
                <c:pt idx="12">
                  <c:v>36.402999999999899</c:v>
                </c:pt>
                <c:pt idx="13">
                  <c:v>36.59600000000006</c:v>
                </c:pt>
                <c:pt idx="14">
                  <c:v>36.788000000000018</c:v>
                </c:pt>
                <c:pt idx="15">
                  <c:v>36.903999999999947</c:v>
                </c:pt>
                <c:pt idx="16">
                  <c:v>36.983999999999952</c:v>
                </c:pt>
                <c:pt idx="17">
                  <c:v>36.986999999999902</c:v>
                </c:pt>
                <c:pt idx="18">
                  <c:v>37.025000000000055</c:v>
                </c:pt>
                <c:pt idx="19">
                  <c:v>37.043999999999997</c:v>
                </c:pt>
                <c:pt idx="20">
                  <c:v>37.100999999999992</c:v>
                </c:pt>
                <c:pt idx="21">
                  <c:v>37.162999999999862</c:v>
                </c:pt>
                <c:pt idx="22">
                  <c:v>37.230000000000132</c:v>
                </c:pt>
                <c:pt idx="23">
                  <c:v>37.301999999999929</c:v>
                </c:pt>
                <c:pt idx="24" formatCode="#,##0.00">
                  <c:v>37.374999999999964</c:v>
                </c:pt>
                <c:pt idx="25">
                  <c:v>37.449999999999925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90.263000000000005</c:v>
                </c:pt>
                <c:pt idx="1">
                  <c:v>87.678999999999959</c:v>
                </c:pt>
                <c:pt idx="2">
                  <c:v>89.740999999999843</c:v>
                </c:pt>
                <c:pt idx="3">
                  <c:v>91.666999999999916</c:v>
                </c:pt>
                <c:pt idx="4">
                  <c:v>92.72600000000017</c:v>
                </c:pt>
                <c:pt idx="5">
                  <c:v>92.065999999999903</c:v>
                </c:pt>
                <c:pt idx="6">
                  <c:v>90.358999999999952</c:v>
                </c:pt>
                <c:pt idx="7">
                  <c:v>91.593999999999909</c:v>
                </c:pt>
                <c:pt idx="8">
                  <c:v>90.236000000000004</c:v>
                </c:pt>
                <c:pt idx="9">
                  <c:v>88.56</c:v>
                </c:pt>
                <c:pt idx="10">
                  <c:v>87.074000000000183</c:v>
                </c:pt>
                <c:pt idx="11">
                  <c:v>87.469000000000094</c:v>
                </c:pt>
                <c:pt idx="12">
                  <c:v>87.57199999999996</c:v>
                </c:pt>
                <c:pt idx="13">
                  <c:v>87.586000000000254</c:v>
                </c:pt>
                <c:pt idx="14">
                  <c:v>87.716999999999985</c:v>
                </c:pt>
                <c:pt idx="15">
                  <c:v>87.879000000000161</c:v>
                </c:pt>
                <c:pt idx="16">
                  <c:v>87.973999999999819</c:v>
                </c:pt>
                <c:pt idx="17">
                  <c:v>88.053000000000054</c:v>
                </c:pt>
                <c:pt idx="18">
                  <c:v>88.124999999999716</c:v>
                </c:pt>
                <c:pt idx="19">
                  <c:v>88.194000000000216</c:v>
                </c:pt>
                <c:pt idx="20">
                  <c:v>88.283000000000072</c:v>
                </c:pt>
                <c:pt idx="21">
                  <c:v>88.380999999999958</c:v>
                </c:pt>
                <c:pt idx="22">
                  <c:v>88.480000000000089</c:v>
                </c:pt>
                <c:pt idx="23">
                  <c:v>88.603999999999843</c:v>
                </c:pt>
                <c:pt idx="24" formatCode="#,##0.00">
                  <c:v>88.722999999999985</c:v>
                </c:pt>
                <c:pt idx="25">
                  <c:v>88.842999999999677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22.520000000000007</c:v>
                </c:pt>
                <c:pt idx="1">
                  <c:v>21.381000000000057</c:v>
                </c:pt>
                <c:pt idx="2">
                  <c:v>27.172000000000054</c:v>
                </c:pt>
                <c:pt idx="3">
                  <c:v>23.774999999999917</c:v>
                </c:pt>
                <c:pt idx="4">
                  <c:v>25.930000000000003</c:v>
                </c:pt>
                <c:pt idx="5">
                  <c:v>33.456999999999994</c:v>
                </c:pt>
                <c:pt idx="6">
                  <c:v>31.619000000000135</c:v>
                </c:pt>
                <c:pt idx="7">
                  <c:v>30.200999999999915</c:v>
                </c:pt>
                <c:pt idx="8">
                  <c:v>32.647000000000006</c:v>
                </c:pt>
                <c:pt idx="9">
                  <c:v>34.173000000000059</c:v>
                </c:pt>
                <c:pt idx="10">
                  <c:v>32.947999999999944</c:v>
                </c:pt>
                <c:pt idx="11">
                  <c:v>35.003000000000036</c:v>
                </c:pt>
                <c:pt idx="12">
                  <c:v>35.118000000000016</c:v>
                </c:pt>
                <c:pt idx="13">
                  <c:v>35.410999999999959</c:v>
                </c:pt>
                <c:pt idx="14">
                  <c:v>35.739999999999817</c:v>
                </c:pt>
                <c:pt idx="15">
                  <c:v>35.964000000000077</c:v>
                </c:pt>
                <c:pt idx="16">
                  <c:v>36.150000000000048</c:v>
                </c:pt>
                <c:pt idx="17">
                  <c:v>36.331000000000053</c:v>
                </c:pt>
                <c:pt idx="18">
                  <c:v>36.508000000000052</c:v>
                </c:pt>
                <c:pt idx="19">
                  <c:v>36.686000000000057</c:v>
                </c:pt>
                <c:pt idx="20">
                  <c:v>36.874000000000045</c:v>
                </c:pt>
                <c:pt idx="21">
                  <c:v>37.052999999999955</c:v>
                </c:pt>
                <c:pt idx="22">
                  <c:v>37.232000000000085</c:v>
                </c:pt>
                <c:pt idx="23">
                  <c:v>37.408000000000008</c:v>
                </c:pt>
                <c:pt idx="24" formatCode="#,##0.00">
                  <c:v>37.583999999999968</c:v>
                </c:pt>
                <c:pt idx="25">
                  <c:v>37.761000000000067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19.56900000000001</c:v>
                </c:pt>
                <c:pt idx="1">
                  <c:v>19.123000000000005</c:v>
                </c:pt>
                <c:pt idx="2">
                  <c:v>19.498000000000033</c:v>
                </c:pt>
                <c:pt idx="3">
                  <c:v>18.954000000000022</c:v>
                </c:pt>
                <c:pt idx="4">
                  <c:v>21.942000000000007</c:v>
                </c:pt>
                <c:pt idx="5">
                  <c:v>21.905999999999963</c:v>
                </c:pt>
                <c:pt idx="6">
                  <c:v>22.156999999999986</c:v>
                </c:pt>
                <c:pt idx="7">
                  <c:v>24.926000000000013</c:v>
                </c:pt>
                <c:pt idx="8">
                  <c:v>22.942000000000025</c:v>
                </c:pt>
                <c:pt idx="9">
                  <c:v>23.974999999999959</c:v>
                </c:pt>
                <c:pt idx="10">
                  <c:v>24.702000000000027</c:v>
                </c:pt>
                <c:pt idx="11">
                  <c:v>23.941999999999975</c:v>
                </c:pt>
                <c:pt idx="12">
                  <c:v>24.889999999999944</c:v>
                </c:pt>
                <c:pt idx="13">
                  <c:v>25.361999999999977</c:v>
                </c:pt>
                <c:pt idx="14">
                  <c:v>25.704000000000018</c:v>
                </c:pt>
                <c:pt idx="15">
                  <c:v>26.167000000000062</c:v>
                </c:pt>
                <c:pt idx="16">
                  <c:v>26.576999999999945</c:v>
                </c:pt>
                <c:pt idx="17">
                  <c:v>26.949000000000005</c:v>
                </c:pt>
                <c:pt idx="18">
                  <c:v>27.29599999999996</c:v>
                </c:pt>
                <c:pt idx="19">
                  <c:v>27.626000000000055</c:v>
                </c:pt>
                <c:pt idx="20">
                  <c:v>27.946999999999996</c:v>
                </c:pt>
                <c:pt idx="21">
                  <c:v>28.258000000000063</c:v>
                </c:pt>
                <c:pt idx="22">
                  <c:v>28.554999999999993</c:v>
                </c:pt>
                <c:pt idx="23">
                  <c:v>28.835999999999967</c:v>
                </c:pt>
                <c:pt idx="24" formatCode="#,##0.00">
                  <c:v>29.101000000000113</c:v>
                </c:pt>
                <c:pt idx="25">
                  <c:v>29.351999999999972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2.1739999999999959</c:v>
                </c:pt>
                <c:pt idx="1">
                  <c:v>1.526999999999999</c:v>
                </c:pt>
                <c:pt idx="2">
                  <c:v>1.5420000000000011</c:v>
                </c:pt>
                <c:pt idx="3">
                  <c:v>1.586000000000001</c:v>
                </c:pt>
                <c:pt idx="4">
                  <c:v>2.11</c:v>
                </c:pt>
                <c:pt idx="5">
                  <c:v>1.7079999999999989</c:v>
                </c:pt>
                <c:pt idx="6">
                  <c:v>1.3409999999999966</c:v>
                </c:pt>
                <c:pt idx="7">
                  <c:v>1.5949999999999995</c:v>
                </c:pt>
                <c:pt idx="8">
                  <c:v>1.4139999999999981</c:v>
                </c:pt>
                <c:pt idx="9">
                  <c:v>1.8249999999999982</c:v>
                </c:pt>
                <c:pt idx="10">
                  <c:v>2.1099999999999994</c:v>
                </c:pt>
                <c:pt idx="11">
                  <c:v>2.089000000000004</c:v>
                </c:pt>
                <c:pt idx="12">
                  <c:v>2.0829999999999962</c:v>
                </c:pt>
                <c:pt idx="13">
                  <c:v>2.0760000000000014</c:v>
                </c:pt>
                <c:pt idx="14">
                  <c:v>2.0720000000000014</c:v>
                </c:pt>
                <c:pt idx="15">
                  <c:v>2.0780000000000038</c:v>
                </c:pt>
                <c:pt idx="16">
                  <c:v>2.081</c:v>
                </c:pt>
                <c:pt idx="17">
                  <c:v>2.0840000000000001</c:v>
                </c:pt>
                <c:pt idx="18">
                  <c:v>2.0870000000000024</c:v>
                </c:pt>
                <c:pt idx="19">
                  <c:v>2.0899999999999981</c:v>
                </c:pt>
                <c:pt idx="20">
                  <c:v>2.0930000000000013</c:v>
                </c:pt>
                <c:pt idx="21">
                  <c:v>2.0950000000000029</c:v>
                </c:pt>
                <c:pt idx="22">
                  <c:v>2.0980000000000043</c:v>
                </c:pt>
                <c:pt idx="23">
                  <c:v>2.101</c:v>
                </c:pt>
                <c:pt idx="24" formatCode="#,##0.00">
                  <c:v>2.1039999999999992</c:v>
                </c:pt>
                <c:pt idx="25">
                  <c:v>2.105999999999995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7.0789999999999971</c:v>
                </c:pt>
                <c:pt idx="1">
                  <c:v>5.9140000000000024</c:v>
                </c:pt>
                <c:pt idx="2">
                  <c:v>6.4789999999999983</c:v>
                </c:pt>
                <c:pt idx="3">
                  <c:v>6.3760000000000039</c:v>
                </c:pt>
                <c:pt idx="4">
                  <c:v>5.8740000000000068</c:v>
                </c:pt>
                <c:pt idx="5">
                  <c:v>6.5380000000000287</c:v>
                </c:pt>
                <c:pt idx="6">
                  <c:v>7.5250000000000181</c:v>
                </c:pt>
                <c:pt idx="7">
                  <c:v>7.0699999999999896</c:v>
                </c:pt>
                <c:pt idx="8">
                  <c:v>7.0200000000000227</c:v>
                </c:pt>
                <c:pt idx="9">
                  <c:v>6.394000000000017</c:v>
                </c:pt>
                <c:pt idx="10">
                  <c:v>6.8729999999999887</c:v>
                </c:pt>
                <c:pt idx="11">
                  <c:v>6.9720000000000208</c:v>
                </c:pt>
                <c:pt idx="12">
                  <c:v>6.9980000000000002</c:v>
                </c:pt>
                <c:pt idx="13">
                  <c:v>7.0639999999999921</c:v>
                </c:pt>
                <c:pt idx="14">
                  <c:v>7.1130000000000271</c:v>
                </c:pt>
                <c:pt idx="15">
                  <c:v>7.1499999999999702</c:v>
                </c:pt>
                <c:pt idx="16">
                  <c:v>7.1830000000000007</c:v>
                </c:pt>
                <c:pt idx="17">
                  <c:v>7.2099999999999804</c:v>
                </c:pt>
                <c:pt idx="18">
                  <c:v>7.2339999999999813</c:v>
                </c:pt>
                <c:pt idx="19">
                  <c:v>7.258000000000016</c:v>
                </c:pt>
                <c:pt idx="20">
                  <c:v>7.2839999999999945</c:v>
                </c:pt>
                <c:pt idx="21">
                  <c:v>7.3080000000000087</c:v>
                </c:pt>
                <c:pt idx="22">
                  <c:v>7.3309999999999649</c:v>
                </c:pt>
                <c:pt idx="23">
                  <c:v>7.352999999999998</c:v>
                </c:pt>
                <c:pt idx="24" formatCode="#,##0.00">
                  <c:v>7.3720000000000203</c:v>
                </c:pt>
                <c:pt idx="25">
                  <c:v>7.3899999999999935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12.460000000000008</c:v>
                </c:pt>
                <c:pt idx="1">
                  <c:v>9.9720000000000102</c:v>
                </c:pt>
                <c:pt idx="2">
                  <c:v>8.5779999999999959</c:v>
                </c:pt>
                <c:pt idx="3">
                  <c:v>10.250000000000009</c:v>
                </c:pt>
                <c:pt idx="4">
                  <c:v>9.2219999999999747</c:v>
                </c:pt>
                <c:pt idx="5">
                  <c:v>10.219000000000021</c:v>
                </c:pt>
                <c:pt idx="6">
                  <c:v>8.9610000000000305</c:v>
                </c:pt>
                <c:pt idx="7">
                  <c:v>9.4130000000000003</c:v>
                </c:pt>
                <c:pt idx="8">
                  <c:v>10.077999999999998</c:v>
                </c:pt>
                <c:pt idx="9">
                  <c:v>10.284000000000029</c:v>
                </c:pt>
                <c:pt idx="10">
                  <c:v>10.441000000000011</c:v>
                </c:pt>
                <c:pt idx="11">
                  <c:v>10.659999999999984</c:v>
                </c:pt>
                <c:pt idx="12">
                  <c:v>10.619999999999989</c:v>
                </c:pt>
                <c:pt idx="13">
                  <c:v>10.572000000000012</c:v>
                </c:pt>
                <c:pt idx="14">
                  <c:v>10.502000000000006</c:v>
                </c:pt>
                <c:pt idx="15">
                  <c:v>10.453999999999997</c:v>
                </c:pt>
                <c:pt idx="16">
                  <c:v>10.419000000000006</c:v>
                </c:pt>
                <c:pt idx="17">
                  <c:v>10.382</c:v>
                </c:pt>
                <c:pt idx="18">
                  <c:v>10.34499999999996</c:v>
                </c:pt>
                <c:pt idx="19">
                  <c:v>10.306999999999986</c:v>
                </c:pt>
                <c:pt idx="20">
                  <c:v>10.270999999999997</c:v>
                </c:pt>
                <c:pt idx="21">
                  <c:v>10.227000000000009</c:v>
                </c:pt>
                <c:pt idx="22">
                  <c:v>10.183999999999989</c:v>
                </c:pt>
                <c:pt idx="23">
                  <c:v>10.140000000000008</c:v>
                </c:pt>
                <c:pt idx="24" formatCode="#,##0.00">
                  <c:v>10.096999999999989</c:v>
                </c:pt>
                <c:pt idx="25">
                  <c:v>10.054000000000002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7.2259999999999875</c:v>
                </c:pt>
                <c:pt idx="1">
                  <c:v>6.3920000000000083</c:v>
                </c:pt>
                <c:pt idx="2">
                  <c:v>6.6840000000000011</c:v>
                </c:pt>
                <c:pt idx="3">
                  <c:v>7.4509999999999952</c:v>
                </c:pt>
                <c:pt idx="4">
                  <c:v>8.2699999999999942</c:v>
                </c:pt>
                <c:pt idx="5">
                  <c:v>7.7230000000000008</c:v>
                </c:pt>
                <c:pt idx="6">
                  <c:v>8.453000000000003</c:v>
                </c:pt>
                <c:pt idx="7">
                  <c:v>10.059999999999992</c:v>
                </c:pt>
                <c:pt idx="8">
                  <c:v>10.287999999999993</c:v>
                </c:pt>
                <c:pt idx="9">
                  <c:v>10.185000000000009</c:v>
                </c:pt>
                <c:pt idx="10">
                  <c:v>10.240000000000016</c:v>
                </c:pt>
                <c:pt idx="11">
                  <c:v>10.218999999999994</c:v>
                </c:pt>
                <c:pt idx="12">
                  <c:v>10.178000000000024</c:v>
                </c:pt>
                <c:pt idx="13">
                  <c:v>10.184999999999993</c:v>
                </c:pt>
                <c:pt idx="14">
                  <c:v>10.24600000000002</c:v>
                </c:pt>
                <c:pt idx="15">
                  <c:v>10.307999999999979</c:v>
                </c:pt>
                <c:pt idx="16">
                  <c:v>10.38799999999998</c:v>
                </c:pt>
                <c:pt idx="17">
                  <c:v>10.477000000000004</c:v>
                </c:pt>
                <c:pt idx="18">
                  <c:v>10.569999999999999</c:v>
                </c:pt>
                <c:pt idx="19">
                  <c:v>10.666000000000002</c:v>
                </c:pt>
                <c:pt idx="20">
                  <c:v>10.761999999999995</c:v>
                </c:pt>
                <c:pt idx="21">
                  <c:v>10.858000000000024</c:v>
                </c:pt>
                <c:pt idx="22">
                  <c:v>10.955000000000005</c:v>
                </c:pt>
                <c:pt idx="23">
                  <c:v>11.050999999999991</c:v>
                </c:pt>
                <c:pt idx="24" formatCode="#,##0.00">
                  <c:v>11.144999999999996</c:v>
                </c:pt>
                <c:pt idx="25">
                  <c:v>11.238000000000005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17.408999999999999</c:v>
                </c:pt>
                <c:pt idx="1">
                  <c:v>22.55299999999998</c:v>
                </c:pt>
                <c:pt idx="2">
                  <c:v>19.888999999999907</c:v>
                </c:pt>
                <c:pt idx="3">
                  <c:v>21.208000000000037</c:v>
                </c:pt>
                <c:pt idx="4">
                  <c:v>23.673999999999968</c:v>
                </c:pt>
                <c:pt idx="5">
                  <c:v>28.591999999999977</c:v>
                </c:pt>
                <c:pt idx="6">
                  <c:v>24.307000000000031</c:v>
                </c:pt>
                <c:pt idx="7">
                  <c:v>23.628999999999962</c:v>
                </c:pt>
                <c:pt idx="8">
                  <c:v>26.37699999999997</c:v>
                </c:pt>
                <c:pt idx="9">
                  <c:v>24.793999999999993</c:v>
                </c:pt>
                <c:pt idx="10">
                  <c:v>24.728999999999964</c:v>
                </c:pt>
                <c:pt idx="11">
                  <c:v>25.012000000000008</c:v>
                </c:pt>
                <c:pt idx="12">
                  <c:v>25.118000000000016</c:v>
                </c:pt>
                <c:pt idx="13">
                  <c:v>25.260000000000019</c:v>
                </c:pt>
                <c:pt idx="14">
                  <c:v>25.424999999999958</c:v>
                </c:pt>
                <c:pt idx="15">
                  <c:v>25.556000000000012</c:v>
                </c:pt>
                <c:pt idx="16">
                  <c:v>25.67599999999997</c:v>
                </c:pt>
                <c:pt idx="17">
                  <c:v>25.800000000000011</c:v>
                </c:pt>
                <c:pt idx="18">
                  <c:v>25.92899999999997</c:v>
                </c:pt>
                <c:pt idx="19">
                  <c:v>26.062000000000033</c:v>
                </c:pt>
                <c:pt idx="20">
                  <c:v>26.204000000000018</c:v>
                </c:pt>
                <c:pt idx="21">
                  <c:v>26.341999999999945</c:v>
                </c:pt>
                <c:pt idx="22">
                  <c:v>26.480999999999941</c:v>
                </c:pt>
                <c:pt idx="23">
                  <c:v>26.618999999999996</c:v>
                </c:pt>
                <c:pt idx="24" formatCode="#,##0.00">
                  <c:v>26.755999999999926</c:v>
                </c:pt>
                <c:pt idx="25">
                  <c:v>26.893000000000079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38.409999999999947</c:v>
                </c:pt>
                <c:pt idx="1">
                  <c:v>38.50600000000005</c:v>
                </c:pt>
                <c:pt idx="2">
                  <c:v>41.116999999999983</c:v>
                </c:pt>
                <c:pt idx="3">
                  <c:v>37.309999999999974</c:v>
                </c:pt>
                <c:pt idx="4">
                  <c:v>34.943000000000076</c:v>
                </c:pt>
                <c:pt idx="5">
                  <c:v>40.241000000000078</c:v>
                </c:pt>
                <c:pt idx="6">
                  <c:v>45.658999999999949</c:v>
                </c:pt>
                <c:pt idx="7">
                  <c:v>45.498000000000012</c:v>
                </c:pt>
                <c:pt idx="8">
                  <c:v>39.043999999999997</c:v>
                </c:pt>
                <c:pt idx="9">
                  <c:v>34.294000000000032</c:v>
                </c:pt>
                <c:pt idx="10">
                  <c:v>32.168000000000021</c:v>
                </c:pt>
                <c:pt idx="11">
                  <c:v>32.616999999999962</c:v>
                </c:pt>
                <c:pt idx="12">
                  <c:v>33.142999999999958</c:v>
                </c:pt>
                <c:pt idx="13">
                  <c:v>33.471000000000082</c:v>
                </c:pt>
                <c:pt idx="14">
                  <c:v>33.689000000000007</c:v>
                </c:pt>
                <c:pt idx="15">
                  <c:v>33.855000000000089</c:v>
                </c:pt>
                <c:pt idx="16">
                  <c:v>34.043999999999954</c:v>
                </c:pt>
                <c:pt idx="17">
                  <c:v>34.229000000000056</c:v>
                </c:pt>
                <c:pt idx="18">
                  <c:v>34.412000000000027</c:v>
                </c:pt>
                <c:pt idx="19">
                  <c:v>34.594999999999978</c:v>
                </c:pt>
                <c:pt idx="20">
                  <c:v>34.783000000000008</c:v>
                </c:pt>
                <c:pt idx="21">
                  <c:v>34.963000000000008</c:v>
                </c:pt>
                <c:pt idx="22">
                  <c:v>35.142999999999944</c:v>
                </c:pt>
                <c:pt idx="23">
                  <c:v>35.322999999999993</c:v>
                </c:pt>
                <c:pt idx="24" formatCode="#,##0.00">
                  <c:v>35.502999999999943</c:v>
                </c:pt>
                <c:pt idx="25">
                  <c:v>35.682999999999957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11.415999999999986</c:v>
                </c:pt>
                <c:pt idx="1">
                  <c:v>9.5530000000000097</c:v>
                </c:pt>
                <c:pt idx="2">
                  <c:v>10.447999999999988</c:v>
                </c:pt>
                <c:pt idx="3">
                  <c:v>10.337999999999985</c:v>
                </c:pt>
                <c:pt idx="4">
                  <c:v>9.8310000000000048</c:v>
                </c:pt>
                <c:pt idx="5">
                  <c:v>11.902000000000012</c:v>
                </c:pt>
                <c:pt idx="6">
                  <c:v>10.432000000000016</c:v>
                </c:pt>
                <c:pt idx="7">
                  <c:v>10.223000000000013</c:v>
                </c:pt>
                <c:pt idx="8">
                  <c:v>9.6130000000000067</c:v>
                </c:pt>
                <c:pt idx="9">
                  <c:v>12.170000000000012</c:v>
                </c:pt>
                <c:pt idx="10">
                  <c:v>11.910000000000011</c:v>
                </c:pt>
                <c:pt idx="11">
                  <c:v>11.759000000000004</c:v>
                </c:pt>
                <c:pt idx="12">
                  <c:v>11.238999999999972</c:v>
                </c:pt>
                <c:pt idx="13">
                  <c:v>11.090000000000012</c:v>
                </c:pt>
                <c:pt idx="14">
                  <c:v>11.218999999999987</c:v>
                </c:pt>
                <c:pt idx="15">
                  <c:v>11.284999999999984</c:v>
                </c:pt>
                <c:pt idx="16">
                  <c:v>11.364999999999998</c:v>
                </c:pt>
                <c:pt idx="17">
                  <c:v>11.432999999999998</c:v>
                </c:pt>
                <c:pt idx="18">
                  <c:v>11.498000000000006</c:v>
                </c:pt>
                <c:pt idx="19">
                  <c:v>11.558000000000023</c:v>
                </c:pt>
                <c:pt idx="20">
                  <c:v>11.620999999999999</c:v>
                </c:pt>
                <c:pt idx="21">
                  <c:v>11.687000000000024</c:v>
                </c:pt>
                <c:pt idx="22">
                  <c:v>11.753999999999994</c:v>
                </c:pt>
                <c:pt idx="23">
                  <c:v>11.820999999999996</c:v>
                </c:pt>
                <c:pt idx="24" formatCode="#,##0.00">
                  <c:v>11.887000000000006</c:v>
                </c:pt>
                <c:pt idx="25">
                  <c:v>11.952999999999991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11.099000000000006</c:v>
                </c:pt>
                <c:pt idx="1">
                  <c:v>12.534999999999972</c:v>
                </c:pt>
                <c:pt idx="2">
                  <c:v>11.491999999999992</c:v>
                </c:pt>
                <c:pt idx="3">
                  <c:v>12.468000000000016</c:v>
                </c:pt>
                <c:pt idx="4">
                  <c:v>14.133000000000024</c:v>
                </c:pt>
                <c:pt idx="5">
                  <c:v>16.423999999999999</c:v>
                </c:pt>
                <c:pt idx="6">
                  <c:v>18.160999999999994</c:v>
                </c:pt>
                <c:pt idx="7">
                  <c:v>17.896000000000019</c:v>
                </c:pt>
                <c:pt idx="8">
                  <c:v>16.903999999999961</c:v>
                </c:pt>
                <c:pt idx="9">
                  <c:v>13.682000000000006</c:v>
                </c:pt>
                <c:pt idx="10">
                  <c:v>12.947000000000006</c:v>
                </c:pt>
                <c:pt idx="11">
                  <c:v>12.732999999999993</c:v>
                </c:pt>
                <c:pt idx="12">
                  <c:v>12.585999999999977</c:v>
                </c:pt>
                <c:pt idx="13">
                  <c:v>12.595999999999997</c:v>
                </c:pt>
                <c:pt idx="14">
                  <c:v>12.618000000000006</c:v>
                </c:pt>
                <c:pt idx="15">
                  <c:v>12.604000000000022</c:v>
                </c:pt>
                <c:pt idx="16">
                  <c:v>12.583000000000034</c:v>
                </c:pt>
                <c:pt idx="17">
                  <c:v>12.563999999999995</c:v>
                </c:pt>
                <c:pt idx="18">
                  <c:v>12.549999999999978</c:v>
                </c:pt>
                <c:pt idx="19">
                  <c:v>12.541000000000025</c:v>
                </c:pt>
                <c:pt idx="20">
                  <c:v>12.54000000000002</c:v>
                </c:pt>
                <c:pt idx="21">
                  <c:v>12.544999999999979</c:v>
                </c:pt>
                <c:pt idx="22">
                  <c:v>12.552999999999972</c:v>
                </c:pt>
                <c:pt idx="23">
                  <c:v>12.563999999999995</c:v>
                </c:pt>
                <c:pt idx="24" formatCode="#,##0.00">
                  <c:v>12.578000000000003</c:v>
                </c:pt>
                <c:pt idx="25">
                  <c:v>12.594999999999967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18.26199999999999</c:v>
                </c:pt>
                <c:pt idx="1">
                  <c:v>17.841000000000058</c:v>
                </c:pt>
                <c:pt idx="2">
                  <c:v>19.266000000000009</c:v>
                </c:pt>
                <c:pt idx="3">
                  <c:v>18.013999999999974</c:v>
                </c:pt>
                <c:pt idx="4">
                  <c:v>19.508999999999983</c:v>
                </c:pt>
                <c:pt idx="5">
                  <c:v>16.002999999999975</c:v>
                </c:pt>
                <c:pt idx="6">
                  <c:v>15.483000000000008</c:v>
                </c:pt>
                <c:pt idx="7">
                  <c:v>15.782999999999992</c:v>
                </c:pt>
                <c:pt idx="8">
                  <c:v>15.80899999999999</c:v>
                </c:pt>
                <c:pt idx="9">
                  <c:v>15.454000000000013</c:v>
                </c:pt>
                <c:pt idx="10">
                  <c:v>15.280999999999985</c:v>
                </c:pt>
                <c:pt idx="11">
                  <c:v>15.059999999999999</c:v>
                </c:pt>
                <c:pt idx="12">
                  <c:v>15.226000000000004</c:v>
                </c:pt>
                <c:pt idx="13">
                  <c:v>15.335999999999983</c:v>
                </c:pt>
                <c:pt idx="14">
                  <c:v>15.471999999999982</c:v>
                </c:pt>
                <c:pt idx="15">
                  <c:v>15.55399999999999</c:v>
                </c:pt>
                <c:pt idx="16">
                  <c:v>15.617000000000004</c:v>
                </c:pt>
                <c:pt idx="17">
                  <c:v>15.683000000000041</c:v>
                </c:pt>
                <c:pt idx="18">
                  <c:v>15.74899999999997</c:v>
                </c:pt>
                <c:pt idx="19">
                  <c:v>15.814999999999996</c:v>
                </c:pt>
                <c:pt idx="20">
                  <c:v>15.882000000000016</c:v>
                </c:pt>
                <c:pt idx="21">
                  <c:v>15.949999999999992</c:v>
                </c:pt>
                <c:pt idx="22">
                  <c:v>16.019999999999996</c:v>
                </c:pt>
                <c:pt idx="23">
                  <c:v>16.089000000000059</c:v>
                </c:pt>
                <c:pt idx="24" formatCode="#,##0.00">
                  <c:v>16.156999999999961</c:v>
                </c:pt>
                <c:pt idx="25">
                  <c:v>16.224999999999966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44.774000000000044</c:v>
                </c:pt>
                <c:pt idx="1">
                  <c:v>46.041000000000039</c:v>
                </c:pt>
                <c:pt idx="2">
                  <c:v>42.84099999999993</c:v>
                </c:pt>
                <c:pt idx="3">
                  <c:v>43.630000000000074</c:v>
                </c:pt>
                <c:pt idx="4">
                  <c:v>43.495999999999967</c:v>
                </c:pt>
                <c:pt idx="5">
                  <c:v>44.810000000000123</c:v>
                </c:pt>
                <c:pt idx="6">
                  <c:v>44.828999999999944</c:v>
                </c:pt>
                <c:pt idx="7">
                  <c:v>44.91799999999995</c:v>
                </c:pt>
                <c:pt idx="8">
                  <c:v>44.049000000000042</c:v>
                </c:pt>
                <c:pt idx="9">
                  <c:v>44.405000000000058</c:v>
                </c:pt>
                <c:pt idx="10">
                  <c:v>45.063000000000045</c:v>
                </c:pt>
                <c:pt idx="11">
                  <c:v>45.227999999999966</c:v>
                </c:pt>
                <c:pt idx="12">
                  <c:v>45.41100000000003</c:v>
                </c:pt>
                <c:pt idx="13">
                  <c:v>45.672000000000018</c:v>
                </c:pt>
                <c:pt idx="14">
                  <c:v>45.97</c:v>
                </c:pt>
                <c:pt idx="15">
                  <c:v>46.277999999999977</c:v>
                </c:pt>
                <c:pt idx="16">
                  <c:v>46.514000000000038</c:v>
                </c:pt>
                <c:pt idx="17">
                  <c:v>46.759000000000007</c:v>
                </c:pt>
                <c:pt idx="18">
                  <c:v>47.013000000000012</c:v>
                </c:pt>
                <c:pt idx="19">
                  <c:v>47.281000000000077</c:v>
                </c:pt>
                <c:pt idx="20">
                  <c:v>47.588000000000143</c:v>
                </c:pt>
                <c:pt idx="21">
                  <c:v>47.899000000000008</c:v>
                </c:pt>
                <c:pt idx="22">
                  <c:v>48.213000000000036</c:v>
                </c:pt>
                <c:pt idx="23">
                  <c:v>48.528999999999876</c:v>
                </c:pt>
                <c:pt idx="24" formatCode="#,##0.00">
                  <c:v>48.84500000000002</c:v>
                </c:pt>
                <c:pt idx="25">
                  <c:v>49.163999999999959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65.001000000000062</c:v>
                </c:pt>
                <c:pt idx="1">
                  <c:v>66.14400000000002</c:v>
                </c:pt>
                <c:pt idx="2">
                  <c:v>67.058999999999983</c:v>
                </c:pt>
                <c:pt idx="3">
                  <c:v>67.074999999999989</c:v>
                </c:pt>
                <c:pt idx="4">
                  <c:v>67.581000000000031</c:v>
                </c:pt>
                <c:pt idx="5">
                  <c:v>60.867000000000125</c:v>
                </c:pt>
                <c:pt idx="6">
                  <c:v>68.400999999999868</c:v>
                </c:pt>
                <c:pt idx="7">
                  <c:v>71.836999999999989</c:v>
                </c:pt>
                <c:pt idx="8">
                  <c:v>68.28900000000003</c:v>
                </c:pt>
                <c:pt idx="9">
                  <c:v>72.829999999999927</c:v>
                </c:pt>
                <c:pt idx="10">
                  <c:v>71.770000000000039</c:v>
                </c:pt>
                <c:pt idx="11">
                  <c:v>73.095000000000056</c:v>
                </c:pt>
                <c:pt idx="12">
                  <c:v>74.036999999999892</c:v>
                </c:pt>
                <c:pt idx="13">
                  <c:v>74.833000000000069</c:v>
                </c:pt>
                <c:pt idx="14">
                  <c:v>75.818000000000083</c:v>
                </c:pt>
                <c:pt idx="15">
                  <c:v>76.515000000000086</c:v>
                </c:pt>
                <c:pt idx="16">
                  <c:v>77.04800000000013</c:v>
                </c:pt>
                <c:pt idx="17">
                  <c:v>77.535999999999916</c:v>
                </c:pt>
                <c:pt idx="18">
                  <c:v>78.006999999999962</c:v>
                </c:pt>
                <c:pt idx="19">
                  <c:v>78.471999999999895</c:v>
                </c:pt>
                <c:pt idx="20">
                  <c:v>78.930000000000078</c:v>
                </c:pt>
                <c:pt idx="21">
                  <c:v>79.384000000000086</c:v>
                </c:pt>
                <c:pt idx="22">
                  <c:v>79.835000000000065</c:v>
                </c:pt>
                <c:pt idx="23">
                  <c:v>80.287000000000049</c:v>
                </c:pt>
                <c:pt idx="24" formatCode="#,##0.00">
                  <c:v>80.74200000000009</c:v>
                </c:pt>
                <c:pt idx="25">
                  <c:v>81.203000000000074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13.652000000000008</c:v>
                </c:pt>
                <c:pt idx="1">
                  <c:v>11.888999999999996</c:v>
                </c:pt>
                <c:pt idx="2">
                  <c:v>12.679000000000009</c:v>
                </c:pt>
                <c:pt idx="3">
                  <c:v>9.8109999999999999</c:v>
                </c:pt>
                <c:pt idx="4">
                  <c:v>11.135999999999999</c:v>
                </c:pt>
                <c:pt idx="5">
                  <c:v>12.683999999999983</c:v>
                </c:pt>
                <c:pt idx="6">
                  <c:v>11.487999999999989</c:v>
                </c:pt>
                <c:pt idx="7">
                  <c:v>11.597000000000008</c:v>
                </c:pt>
                <c:pt idx="8">
                  <c:v>9.919999999999991</c:v>
                </c:pt>
                <c:pt idx="9">
                  <c:v>8.5460000000000029</c:v>
                </c:pt>
                <c:pt idx="10">
                  <c:v>7.0439999999999952</c:v>
                </c:pt>
                <c:pt idx="11">
                  <c:v>6.9100000000000019</c:v>
                </c:pt>
                <c:pt idx="12">
                  <c:v>6.8389999999999933</c:v>
                </c:pt>
                <c:pt idx="13">
                  <c:v>6.8740000000000094</c:v>
                </c:pt>
                <c:pt idx="14">
                  <c:v>7.0260000000000042</c:v>
                </c:pt>
                <c:pt idx="15">
                  <c:v>7.0899999999999981</c:v>
                </c:pt>
                <c:pt idx="16">
                  <c:v>7.1320000000000032</c:v>
                </c:pt>
                <c:pt idx="17">
                  <c:v>7.1539999999999901</c:v>
                </c:pt>
                <c:pt idx="18">
                  <c:v>7.1630000000000065</c:v>
                </c:pt>
                <c:pt idx="19">
                  <c:v>7.1640000000000166</c:v>
                </c:pt>
                <c:pt idx="20">
                  <c:v>7.1639999999999935</c:v>
                </c:pt>
                <c:pt idx="21">
                  <c:v>7.163000000000002</c:v>
                </c:pt>
                <c:pt idx="22">
                  <c:v>7.1600000000000072</c:v>
                </c:pt>
                <c:pt idx="23">
                  <c:v>7.1549999999999976</c:v>
                </c:pt>
                <c:pt idx="24">
                  <c:v>7.150000000000003</c:v>
                </c:pt>
                <c:pt idx="25">
                  <c:v>7.1439999999999904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69.248999999999938</c:v>
                </c:pt>
                <c:pt idx="1">
                  <c:v>70.261999999999986</c:v>
                </c:pt>
                <c:pt idx="2">
                  <c:v>69.719000000000122</c:v>
                </c:pt>
                <c:pt idx="3">
                  <c:v>69.69699999999996</c:v>
                </c:pt>
                <c:pt idx="4">
                  <c:v>70.717999999999705</c:v>
                </c:pt>
                <c:pt idx="5">
                  <c:v>68.65899999999985</c:v>
                </c:pt>
                <c:pt idx="6">
                  <c:v>65.025999999999698</c:v>
                </c:pt>
                <c:pt idx="7">
                  <c:v>65.682000000000116</c:v>
                </c:pt>
                <c:pt idx="8">
                  <c:v>67.220000000000041</c:v>
                </c:pt>
                <c:pt idx="9">
                  <c:v>69.284999999999911</c:v>
                </c:pt>
                <c:pt idx="10">
                  <c:v>63.879000000000048</c:v>
                </c:pt>
                <c:pt idx="11">
                  <c:v>65.001999999999924</c:v>
                </c:pt>
                <c:pt idx="12">
                  <c:v>64.118000000000109</c:v>
                </c:pt>
                <c:pt idx="13">
                  <c:v>63.464999999999776</c:v>
                </c:pt>
                <c:pt idx="14">
                  <c:v>63.086999999999946</c:v>
                </c:pt>
                <c:pt idx="15">
                  <c:v>62.48700000000003</c:v>
                </c:pt>
                <c:pt idx="16">
                  <c:v>61.830000000000027</c:v>
                </c:pt>
                <c:pt idx="17">
                  <c:v>61.143999999999942</c:v>
                </c:pt>
                <c:pt idx="18">
                  <c:v>60.486999999999902</c:v>
                </c:pt>
                <c:pt idx="19">
                  <c:v>59.863000000000113</c:v>
                </c:pt>
                <c:pt idx="20">
                  <c:v>59.328999999999908</c:v>
                </c:pt>
                <c:pt idx="21">
                  <c:v>58.786999999999864</c:v>
                </c:pt>
                <c:pt idx="22">
                  <c:v>58.272999999999897</c:v>
                </c:pt>
                <c:pt idx="23">
                  <c:v>57.784999999999947</c:v>
                </c:pt>
                <c:pt idx="24">
                  <c:v>57.322999999999844</c:v>
                </c:pt>
                <c:pt idx="25">
                  <c:v>56.889999999999958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35.561</c:v>
                </c:pt>
                <c:pt idx="1">
                  <c:v>32.781000000000013</c:v>
                </c:pt>
                <c:pt idx="2">
                  <c:v>32.984000000000016</c:v>
                </c:pt>
                <c:pt idx="3">
                  <c:v>31.037999999999954</c:v>
                </c:pt>
                <c:pt idx="4">
                  <c:v>27.869999999999987</c:v>
                </c:pt>
                <c:pt idx="5">
                  <c:v>31.762999999999966</c:v>
                </c:pt>
                <c:pt idx="6">
                  <c:v>29.73800000000001</c:v>
                </c:pt>
                <c:pt idx="7">
                  <c:v>30.231000000000048</c:v>
                </c:pt>
                <c:pt idx="8">
                  <c:v>38.885000000000076</c:v>
                </c:pt>
                <c:pt idx="9">
                  <c:v>39.074999999999896</c:v>
                </c:pt>
                <c:pt idx="10">
                  <c:v>37.014999999999908</c:v>
                </c:pt>
                <c:pt idx="11">
                  <c:v>36.344999999999956</c:v>
                </c:pt>
                <c:pt idx="12">
                  <c:v>36.402999999999899</c:v>
                </c:pt>
                <c:pt idx="13">
                  <c:v>36.59600000000006</c:v>
                </c:pt>
                <c:pt idx="14">
                  <c:v>36.788000000000018</c:v>
                </c:pt>
                <c:pt idx="15">
                  <c:v>36.903999999999947</c:v>
                </c:pt>
                <c:pt idx="16">
                  <c:v>36.983999999999952</c:v>
                </c:pt>
                <c:pt idx="17">
                  <c:v>36.986999999999902</c:v>
                </c:pt>
                <c:pt idx="18">
                  <c:v>37.025000000000055</c:v>
                </c:pt>
                <c:pt idx="19">
                  <c:v>37.043999999999997</c:v>
                </c:pt>
                <c:pt idx="20">
                  <c:v>37.100999999999992</c:v>
                </c:pt>
                <c:pt idx="21">
                  <c:v>37.162999999999862</c:v>
                </c:pt>
                <c:pt idx="22">
                  <c:v>37.230000000000132</c:v>
                </c:pt>
                <c:pt idx="23">
                  <c:v>37.301999999999929</c:v>
                </c:pt>
                <c:pt idx="24" formatCode="#,##0.00">
                  <c:v>37.374999999999964</c:v>
                </c:pt>
                <c:pt idx="25">
                  <c:v>37.449999999999925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132.35200000000003</c:v>
                </c:pt>
                <c:pt idx="1">
                  <c:v>128.18300000000002</c:v>
                </c:pt>
                <c:pt idx="2">
                  <c:v>136.41099999999994</c:v>
                </c:pt>
                <c:pt idx="3">
                  <c:v>134.39599999999984</c:v>
                </c:pt>
                <c:pt idx="4">
                  <c:v>140.59800000000018</c:v>
                </c:pt>
                <c:pt idx="5">
                  <c:v>147.42899999999986</c:v>
                </c:pt>
                <c:pt idx="6">
                  <c:v>144.13500000000008</c:v>
                </c:pt>
                <c:pt idx="7">
                  <c:v>146.72099999999983</c:v>
                </c:pt>
                <c:pt idx="8">
                  <c:v>145.82500000000005</c:v>
                </c:pt>
                <c:pt idx="9">
                  <c:v>146.70800000000003</c:v>
                </c:pt>
                <c:pt idx="10">
                  <c:v>144.72400000000016</c:v>
                </c:pt>
                <c:pt idx="11">
                  <c:v>146.4140000000001</c:v>
                </c:pt>
                <c:pt idx="12">
                  <c:v>147.57999999999993</c:v>
                </c:pt>
                <c:pt idx="13">
                  <c:v>148.35900000000018</c:v>
                </c:pt>
                <c:pt idx="14">
                  <c:v>149.1609999999998</c:v>
                </c:pt>
                <c:pt idx="15">
                  <c:v>150.0100000000003</c:v>
                </c:pt>
                <c:pt idx="16">
                  <c:v>150.70099999999982</c:v>
                </c:pt>
                <c:pt idx="17">
                  <c:v>151.33300000000011</c:v>
                </c:pt>
                <c:pt idx="18">
                  <c:v>151.92899999999972</c:v>
                </c:pt>
                <c:pt idx="19">
                  <c:v>152.50600000000034</c:v>
                </c:pt>
                <c:pt idx="20">
                  <c:v>153.10400000000013</c:v>
                </c:pt>
                <c:pt idx="21">
                  <c:v>153.69199999999998</c:v>
                </c:pt>
                <c:pt idx="22">
                  <c:v>154.26700000000017</c:v>
                </c:pt>
                <c:pt idx="23">
                  <c:v>154.84799999999981</c:v>
                </c:pt>
                <c:pt idx="24">
                  <c:v>155.40800000000007</c:v>
                </c:pt>
                <c:pt idx="25">
                  <c:v>155.9559999999997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107.27299999999991</c:v>
                </c:pt>
                <c:pt idx="1">
                  <c:v>106.95200000000004</c:v>
                </c:pt>
                <c:pt idx="2">
                  <c:v>106.22899999999987</c:v>
                </c:pt>
                <c:pt idx="3">
                  <c:v>106.98700000000002</c:v>
                </c:pt>
                <c:pt idx="4">
                  <c:v>108.05700000000004</c:v>
                </c:pt>
                <c:pt idx="5">
                  <c:v>123.34700000000012</c:v>
                </c:pt>
                <c:pt idx="6">
                  <c:v>124.83900000000003</c:v>
                </c:pt>
                <c:pt idx="7">
                  <c:v>125.38399999999999</c:v>
                </c:pt>
                <c:pt idx="8">
                  <c:v>120.73799999999994</c:v>
                </c:pt>
                <c:pt idx="9">
                  <c:v>113.62800000000009</c:v>
                </c:pt>
                <c:pt idx="10">
                  <c:v>111.41800000000002</c:v>
                </c:pt>
                <c:pt idx="11">
                  <c:v>112.06099999999996</c:v>
                </c:pt>
                <c:pt idx="12">
                  <c:v>111.96499999999995</c:v>
                </c:pt>
                <c:pt idx="13">
                  <c:v>112.31400000000011</c:v>
                </c:pt>
                <c:pt idx="14">
                  <c:v>112.88400000000003</c:v>
                </c:pt>
                <c:pt idx="15">
                  <c:v>113.29000000000006</c:v>
                </c:pt>
                <c:pt idx="16">
                  <c:v>113.73899999999995</c:v>
                </c:pt>
                <c:pt idx="17">
                  <c:v>114.17900000000003</c:v>
                </c:pt>
                <c:pt idx="18">
                  <c:v>114.62499999999993</c:v>
                </c:pt>
                <c:pt idx="19">
                  <c:v>115.07700000000006</c:v>
                </c:pt>
                <c:pt idx="20">
                  <c:v>115.55800000000004</c:v>
                </c:pt>
                <c:pt idx="21">
                  <c:v>116.02499999999999</c:v>
                </c:pt>
                <c:pt idx="22">
                  <c:v>116.49899999999981</c:v>
                </c:pt>
                <c:pt idx="23">
                  <c:v>116.97199999999998</c:v>
                </c:pt>
                <c:pt idx="24">
                  <c:v>117.44199999999988</c:v>
                </c:pt>
                <c:pt idx="25">
                  <c:v>117.91199999999999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128.03700000000009</c:v>
                </c:pt>
                <c:pt idx="1">
                  <c:v>130.02600000000012</c:v>
                </c:pt>
                <c:pt idx="2">
                  <c:v>129.16599999999994</c:v>
                </c:pt>
                <c:pt idx="3">
                  <c:v>128.71900000000005</c:v>
                </c:pt>
                <c:pt idx="4">
                  <c:v>130.58599999999998</c:v>
                </c:pt>
                <c:pt idx="5">
                  <c:v>121.68000000000023</c:v>
                </c:pt>
                <c:pt idx="6">
                  <c:v>128.71299999999982</c:v>
                </c:pt>
                <c:pt idx="7">
                  <c:v>132.53799999999993</c:v>
                </c:pt>
                <c:pt idx="8">
                  <c:v>128.14700000000005</c:v>
                </c:pt>
                <c:pt idx="9">
                  <c:v>132.68899999999999</c:v>
                </c:pt>
                <c:pt idx="10">
                  <c:v>132.11400000000006</c:v>
                </c:pt>
                <c:pt idx="11">
                  <c:v>133.38300000000004</c:v>
                </c:pt>
                <c:pt idx="12">
                  <c:v>134.67399999999992</c:v>
                </c:pt>
                <c:pt idx="13">
                  <c:v>135.84100000000007</c:v>
                </c:pt>
                <c:pt idx="14">
                  <c:v>137.26000000000005</c:v>
                </c:pt>
                <c:pt idx="15">
                  <c:v>138.34700000000004</c:v>
                </c:pt>
                <c:pt idx="16">
                  <c:v>139.17900000000017</c:v>
                </c:pt>
                <c:pt idx="17">
                  <c:v>139.97799999999995</c:v>
                </c:pt>
                <c:pt idx="18">
                  <c:v>140.76899999999995</c:v>
                </c:pt>
                <c:pt idx="19">
                  <c:v>141.56799999999998</c:v>
                </c:pt>
                <c:pt idx="20">
                  <c:v>142.40000000000023</c:v>
                </c:pt>
                <c:pt idx="21">
                  <c:v>143.23300000000009</c:v>
                </c:pt>
                <c:pt idx="22">
                  <c:v>144.0680000000001</c:v>
                </c:pt>
                <c:pt idx="23">
                  <c:v>144.90499999999997</c:v>
                </c:pt>
                <c:pt idx="24">
                  <c:v>145.74400000000009</c:v>
                </c:pt>
                <c:pt idx="25">
                  <c:v>146.59199999999998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24.06826462431912</c:v>
                </c:pt>
                <c:pt idx="1">
                  <c:v>26.625473101246694</c:v>
                </c:pt>
                <c:pt idx="2">
                  <c:v>28.085771653664015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24.397996684877448</c:v>
                </c:pt>
                <c:pt idx="1">
                  <c:v>22.454523835435332</c:v>
                </c:pt>
                <c:pt idx="2">
                  <c:v>22.590929295096814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29.161408491935681</c:v>
                </c:pt>
                <c:pt idx="1">
                  <c:v>29.166817817224739</c:v>
                </c:pt>
                <c:pt idx="2">
                  <c:v>29.879833851907456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6.2827111214845992</c:v>
                </c:pt>
                <c:pt idx="1">
                  <c:v>7.4597838748553773</c:v>
                </c:pt>
                <c:pt idx="2">
                  <c:v>7.1750992443633725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13.580727981928991</c:v>
                </c:pt>
                <c:pt idx="1">
                  <c:v>12.873795330052362</c:v>
                </c:pt>
                <c:pt idx="2">
                  <c:v>10.899636742639061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2.5088910954541648</c:v>
                </c:pt>
                <c:pt idx="1">
                  <c:v>1.4196060411855025</c:v>
                </c:pt>
                <c:pt idx="2">
                  <c:v>1.3687292123292913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10.433999999999827</c:v>
                </c:pt>
                <c:pt idx="1">
                  <c:v>-11.929000000000102</c:v>
                </c:pt>
                <c:pt idx="2">
                  <c:v>-2.7049999999996999</c:v>
                </c:pt>
                <c:pt idx="3">
                  <c:v>5.251999999999942</c:v>
                </c:pt>
                <c:pt idx="4">
                  <c:v>-4.7799999999998022</c:v>
                </c:pt>
                <c:pt idx="5">
                  <c:v>-5.6399999999999881</c:v>
                </c:pt>
                <c:pt idx="7">
                  <c:v>-9.3679999999997676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14.477999999999923</c:v>
                </c:pt>
                <c:pt idx="1">
                  <c:v>6.4939999999999714</c:v>
                </c:pt>
                <c:pt idx="2">
                  <c:v>11.231999999999545</c:v>
                </c:pt>
                <c:pt idx="3">
                  <c:v>0.43500000000001648</c:v>
                </c:pt>
                <c:pt idx="4">
                  <c:v>-6.9890000000000896</c:v>
                </c:pt>
                <c:pt idx="5">
                  <c:v>9.9999999999995204E-2</c:v>
                </c:pt>
                <c:pt idx="7">
                  <c:v>25.749999999999361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0.33785827979151417</c:v>
                </c:pt>
                <c:pt idx="2">
                  <c:v>-1.6241007083510617</c:v>
                </c:pt>
                <c:pt idx="3">
                  <c:v>4.4400691329606889</c:v>
                </c:pt>
                <c:pt idx="4">
                  <c:v>-4.462711763347782E-2</c:v>
                </c:pt>
                <c:pt idx="6">
                  <c:v>0.2121973700340174</c:v>
                </c:pt>
                <c:pt idx="7">
                  <c:v>-0.32216476551590878</c:v>
                </c:pt>
                <c:pt idx="8">
                  <c:v>-2.6252842027107981E-2</c:v>
                </c:pt>
                <c:pt idx="10">
                  <c:v>1.4429460177838527</c:v>
                </c:pt>
                <c:pt idx="11">
                  <c:v>-0.55850881574924793</c:v>
                </c:pt>
                <c:pt idx="12">
                  <c:v>-4.3975911251237232E-2</c:v>
                </c:pt>
                <c:pt idx="14">
                  <c:v>-1.1622869012287262</c:v>
                </c:pt>
                <c:pt idx="15">
                  <c:v>-0.58125569202476246</c:v>
                </c:pt>
                <c:pt idx="16">
                  <c:v>0.85698993594331974</c:v>
                </c:pt>
                <c:pt idx="17">
                  <c:v>0.5937695306053703</c:v>
                </c:pt>
                <c:pt idx="19">
                  <c:v>-0.28095792058610014</c:v>
                </c:pt>
                <c:pt idx="20">
                  <c:v>-1.2807011061727547</c:v>
                </c:pt>
                <c:pt idx="21">
                  <c:v>-0.72277342843283243</c:v>
                </c:pt>
                <c:pt idx="22">
                  <c:v>0.6803828236388032</c:v>
                </c:pt>
                <c:pt idx="23">
                  <c:v>-0.73475994895060293</c:v>
                </c:pt>
                <c:pt idx="25">
                  <c:v>-3.5367242946928501</c:v>
                </c:pt>
                <c:pt idx="26">
                  <c:v>0.12902272457058217</c:v>
                </c:pt>
                <c:pt idx="27">
                  <c:v>-0.35714078831445839</c:v>
                </c:pt>
                <c:pt idx="29">
                  <c:v>0.36499271392635979</c:v>
                </c:pt>
                <c:pt idx="30">
                  <c:v>-0.40433329111217997</c:v>
                </c:pt>
                <c:pt idx="31">
                  <c:v>-0.34290857454674084</c:v>
                </c:pt>
                <c:pt idx="32">
                  <c:v>4.422401319894731</c:v>
                </c:pt>
                <c:pt idx="33">
                  <c:v>-0.22037679293600565</c:v>
                </c:pt>
                <c:pt idx="34">
                  <c:v>1.0857867262725973</c:v>
                </c:pt>
                <c:pt idx="36">
                  <c:v>1.015748682921247</c:v>
                </c:pt>
                <c:pt idx="37">
                  <c:v>0.61970175648629056</c:v>
                </c:pt>
                <c:pt idx="38">
                  <c:v>0.40825893933129631</c:v>
                </c:pt>
                <c:pt idx="39">
                  <c:v>2.1053550953749944</c:v>
                </c:pt>
                <c:pt idx="40">
                  <c:v>1.0850858994736923</c:v>
                </c:pt>
                <c:pt idx="42">
                  <c:v>0.96772729272256441</c:v>
                </c:pt>
                <c:pt idx="43">
                  <c:v>-0.12304988831006725</c:v>
                </c:pt>
                <c:pt idx="44">
                  <c:v>0.1961404623199936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-0.37337526450478276</c:v>
                </c:pt>
                <c:pt idx="2">
                  <c:v>-3.6852004087132739</c:v>
                </c:pt>
                <c:pt idx="3">
                  <c:v>-5.6300457870917864</c:v>
                </c:pt>
                <c:pt idx="4">
                  <c:v>-4.06488694397712</c:v>
                </c:pt>
                <c:pt idx="6">
                  <c:v>-1.8475168186694924</c:v>
                </c:pt>
                <c:pt idx="7">
                  <c:v>-4.3972044343313694</c:v>
                </c:pt>
                <c:pt idx="8">
                  <c:v>-3.058986311425782</c:v>
                </c:pt>
                <c:pt idx="10">
                  <c:v>3.4363853247398879E-4</c:v>
                </c:pt>
                <c:pt idx="11">
                  <c:v>-2.4376784598331702</c:v>
                </c:pt>
                <c:pt idx="12">
                  <c:v>-1.9057013424181979</c:v>
                </c:pt>
                <c:pt idx="14">
                  <c:v>1.1806127781222031E-2</c:v>
                </c:pt>
                <c:pt idx="15">
                  <c:v>-4.3727231759594805</c:v>
                </c:pt>
                <c:pt idx="16">
                  <c:v>0.59460447567794006</c:v>
                </c:pt>
                <c:pt idx="17">
                  <c:v>-0.45591198836449909</c:v>
                </c:pt>
                <c:pt idx="19">
                  <c:v>-2.9388290827512153</c:v>
                </c:pt>
                <c:pt idx="20">
                  <c:v>-1.3218965885935408</c:v>
                </c:pt>
                <c:pt idx="21">
                  <c:v>-4.083502909618753</c:v>
                </c:pt>
                <c:pt idx="22">
                  <c:v>-5.9151366231925406</c:v>
                </c:pt>
                <c:pt idx="23">
                  <c:v>-3.1502625897510406</c:v>
                </c:pt>
                <c:pt idx="25">
                  <c:v>-3.3420221813353468</c:v>
                </c:pt>
                <c:pt idx="26">
                  <c:v>-0.80251961659546511</c:v>
                </c:pt>
                <c:pt idx="27">
                  <c:v>-1.2478068393020125</c:v>
                </c:pt>
                <c:pt idx="29">
                  <c:v>0.88330808713674713</c:v>
                </c:pt>
                <c:pt idx="30">
                  <c:v>0.44404316777670871</c:v>
                </c:pt>
                <c:pt idx="31">
                  <c:v>1.0699074651868257</c:v>
                </c:pt>
                <c:pt idx="32">
                  <c:v>4.0226870496867573</c:v>
                </c:pt>
                <c:pt idx="33">
                  <c:v>2.6616112272142889</c:v>
                </c:pt>
                <c:pt idx="34">
                  <c:v>1.6173908609099286</c:v>
                </c:pt>
                <c:pt idx="36">
                  <c:v>4.1573473635407421</c:v>
                </c:pt>
                <c:pt idx="37">
                  <c:v>2.4242955423134038</c:v>
                </c:pt>
                <c:pt idx="38">
                  <c:v>4.4027846668944992</c:v>
                </c:pt>
                <c:pt idx="39">
                  <c:v>2.3989964645567241</c:v>
                </c:pt>
                <c:pt idx="40">
                  <c:v>3.3739606107497266</c:v>
                </c:pt>
                <c:pt idx="42">
                  <c:v>1.1422240086861102</c:v>
                </c:pt>
                <c:pt idx="43">
                  <c:v>2.9507896898499641</c:v>
                </c:pt>
                <c:pt idx="44">
                  <c:v>2.4301925967987525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4.6765637180368742</c:v>
                </c:pt>
                <c:pt idx="1">
                  <c:v>0.73108315833857418</c:v>
                </c:pt>
                <c:pt idx="2">
                  <c:v>2.9815849256972591</c:v>
                </c:pt>
                <c:pt idx="3">
                  <c:v>5.210531890222569</c:v>
                </c:pt>
                <c:pt idx="4">
                  <c:v>2.4862430778373721</c:v>
                </c:pt>
                <c:pt idx="5">
                  <c:v>5.1515657011708598</c:v>
                </c:pt>
                <c:pt idx="6">
                  <c:v>1.0722669969975689</c:v>
                </c:pt>
                <c:pt idx="7">
                  <c:v>1.9689939474744271</c:v>
                </c:pt>
                <c:pt idx="8">
                  <c:v>0.24289834698689905</c:v>
                </c:pt>
                <c:pt idx="9">
                  <c:v>0.16860632659395058</c:v>
                </c:pt>
                <c:pt idx="10">
                  <c:v>1.235451028761311</c:v>
                </c:pt>
                <c:pt idx="11">
                  <c:v>-1.9403324469086698</c:v>
                </c:pt>
                <c:pt idx="12">
                  <c:v>-1.7192200057405405</c:v>
                </c:pt>
                <c:pt idx="13">
                  <c:v>-1.1381708058575417</c:v>
                </c:pt>
                <c:pt idx="14">
                  <c:v>-5.3858515546717918</c:v>
                </c:pt>
                <c:pt idx="15">
                  <c:v>-1.2021571662427988</c:v>
                </c:pt>
                <c:pt idx="16">
                  <c:v>-1.3397011691052612</c:v>
                </c:pt>
                <c:pt idx="17">
                  <c:v>1.1597876583648699</c:v>
                </c:pt>
                <c:pt idx="18">
                  <c:v>-2.3002875958231126</c:v>
                </c:pt>
                <c:pt idx="19">
                  <c:v>2.63734906043811E-4</c:v>
                </c:pt>
                <c:pt idx="20">
                  <c:v>-3.9728610635861052</c:v>
                </c:pt>
                <c:pt idx="21">
                  <c:v>1.5616228900583451E-4</c:v>
                </c:pt>
                <c:pt idx="22">
                  <c:v>-4.6347589542310885</c:v>
                </c:pt>
                <c:pt idx="23">
                  <c:v>-2.1475507995479965</c:v>
                </c:pt>
                <c:pt idx="24">
                  <c:v>-2.8895490557075245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-0.63237684257853033</c:v>
                </c:pt>
                <c:pt idx="1">
                  <c:v>2.0581886367369489</c:v>
                </c:pt>
                <c:pt idx="2">
                  <c:v>9.785995648515307</c:v>
                </c:pt>
                <c:pt idx="3">
                  <c:v>1.6943192677989956</c:v>
                </c:pt>
                <c:pt idx="4">
                  <c:v>2.1387384451723044</c:v>
                </c:pt>
                <c:pt idx="5">
                  <c:v>4.5763308973755699</c:v>
                </c:pt>
                <c:pt idx="6">
                  <c:v>-0.28358469201754843</c:v>
                </c:pt>
                <c:pt idx="7">
                  <c:v>10.053937867540389</c:v>
                </c:pt>
                <c:pt idx="8">
                  <c:v>-0.23539630392559019</c:v>
                </c:pt>
                <c:pt idx="9">
                  <c:v>-0.45375675075010058</c:v>
                </c:pt>
                <c:pt idx="10">
                  <c:v>1.613142520901345</c:v>
                </c:pt>
                <c:pt idx="11">
                  <c:v>0.92173963148113103</c:v>
                </c:pt>
                <c:pt idx="12">
                  <c:v>-3.8728690186784727</c:v>
                </c:pt>
                <c:pt idx="13">
                  <c:v>0.34187206540108628</c:v>
                </c:pt>
                <c:pt idx="14">
                  <c:v>-2.3956919400202921</c:v>
                </c:pt>
                <c:pt idx="15">
                  <c:v>-3.0718921750692889</c:v>
                </c:pt>
                <c:pt idx="16">
                  <c:v>-0.34421132161091972</c:v>
                </c:pt>
                <c:pt idx="17">
                  <c:v>5.4224209045557998</c:v>
                </c:pt>
                <c:pt idx="18">
                  <c:v>-0.76879720143824137</c:v>
                </c:pt>
                <c:pt idx="19">
                  <c:v>-7.1888798504818552E-2</c:v>
                </c:pt>
                <c:pt idx="20">
                  <c:v>-2.437590182482154</c:v>
                </c:pt>
                <c:pt idx="21">
                  <c:v>2.1788870457386089</c:v>
                </c:pt>
                <c:pt idx="22">
                  <c:v>-0.86859262633460332</c:v>
                </c:pt>
                <c:pt idx="23">
                  <c:v>0.70995605294593744</c:v>
                </c:pt>
                <c:pt idx="24">
                  <c:v>7.8988926835633269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5.4076468763754519</c:v>
                </c:pt>
                <c:pt idx="1">
                  <c:v>15.829925594928071</c:v>
                </c:pt>
                <c:pt idx="2">
                  <c:v>4.6882166468141548</c:v>
                </c:pt>
                <c:pt idx="3">
                  <c:v>-3.6595524526492085</c:v>
                </c:pt>
                <c:pt idx="4">
                  <c:v>-9.0658806958773965</c:v>
                </c:pt>
                <c:pt idx="5">
                  <c:v>-1.1402362025521953</c:v>
                </c:pt>
                <c:pt idx="6">
                  <c:v>-3.9727049012970994</c:v>
                </c:pt>
                <c:pt idx="7">
                  <c:v>-6.7823097537790886</c:v>
                </c:pt>
                <c:pt idx="8">
                  <c:v>-10.673105111963068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1.4258117941584203</c:v>
                </c:pt>
                <c:pt idx="1">
                  <c:v>18.195384258862177</c:v>
                </c:pt>
                <c:pt idx="2">
                  <c:v>10.694342641748491</c:v>
                </c:pt>
                <c:pt idx="3">
                  <c:v>-2.9511293871973407</c:v>
                </c:pt>
                <c:pt idx="4">
                  <c:v>-5.4699233712994157</c:v>
                </c:pt>
                <c:pt idx="5">
                  <c:v>4.5817349046127376</c:v>
                </c:pt>
                <c:pt idx="6">
                  <c:v>-0.25870313674354861</c:v>
                </c:pt>
                <c:pt idx="7">
                  <c:v>-0.15863657338866233</c:v>
                </c:pt>
                <c:pt idx="8">
                  <c:v>-0.30888113075301504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25.579593238439738</c:v>
                </c:pt>
                <c:pt idx="1">
                  <c:v>27.40169587563938</c:v>
                </c:pt>
                <c:pt idx="2">
                  <c:v>28.168559828983248</c:v>
                </c:pt>
                <c:pt idx="3">
                  <c:v>28.699744694795161</c:v>
                </c:pt>
                <c:pt idx="4">
                  <c:v>27.526629945729731</c:v>
                </c:pt>
                <c:pt idx="5">
                  <c:v>29.880785800881405</c:v>
                </c:pt>
                <c:pt idx="6">
                  <c:v>31.39905331134868</c:v>
                </c:pt>
                <c:pt idx="7">
                  <c:v>32.04154656777888</c:v>
                </c:pt>
                <c:pt idx="8">
                  <c:v>33.297068548179432</c:v>
                </c:pt>
                <c:pt idx="9">
                  <c:v>33.670781149647794</c:v>
                </c:pt>
                <c:pt idx="10">
                  <c:v>34.557349518918279</c:v>
                </c:pt>
                <c:pt idx="11">
                  <c:v>30.075727690006548</c:v>
                </c:pt>
                <c:pt idx="12">
                  <c:v>30.291432415932476</c:v>
                </c:pt>
                <c:pt idx="13">
                  <c:v>30.557092989920058</c:v>
                </c:pt>
                <c:pt idx="14">
                  <c:v>30.893841930483362</c:v>
                </c:pt>
                <c:pt idx="15">
                  <c:v>31.172230771306513</c:v>
                </c:pt>
                <c:pt idx="16">
                  <c:v>31.429118254214508</c:v>
                </c:pt>
                <c:pt idx="17">
                  <c:v>31.685152719904647</c:v>
                </c:pt>
                <c:pt idx="18">
                  <c:v>31.950062959950447</c:v>
                </c:pt>
                <c:pt idx="19">
                  <c:v>32.211441044902173</c:v>
                </c:pt>
                <c:pt idx="20">
                  <c:v>32.495532292470394</c:v>
                </c:pt>
                <c:pt idx="21">
                  <c:v>32.77102116260231</c:v>
                </c:pt>
                <c:pt idx="22">
                  <c:v>33.051061364181777</c:v>
                </c:pt>
                <c:pt idx="23">
                  <c:v>33.337145705645646</c:v>
                </c:pt>
                <c:pt idx="24">
                  <c:v>33.627082802042622</c:v>
                </c:pt>
                <c:pt idx="25">
                  <c:v>33.924972676339749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10.282587629093722</c:v>
                </c:pt>
                <c:pt idx="1">
                  <c:v>11.109478713863155</c:v>
                </c:pt>
                <c:pt idx="2">
                  <c:v>11.474032415352585</c:v>
                </c:pt>
                <c:pt idx="3">
                  <c:v>11.616670819068126</c:v>
                </c:pt>
                <c:pt idx="4">
                  <c:v>12.717243041478378</c:v>
                </c:pt>
                <c:pt idx="5">
                  <c:v>12.511934815118931</c:v>
                </c:pt>
                <c:pt idx="6">
                  <c:v>11.586411528116839</c:v>
                </c:pt>
                <c:pt idx="7">
                  <c:v>12.942880567812317</c:v>
                </c:pt>
                <c:pt idx="8">
                  <c:v>12.678093376368045</c:v>
                </c:pt>
                <c:pt idx="9">
                  <c:v>12.674366859929489</c:v>
                </c:pt>
                <c:pt idx="10">
                  <c:v>13.243017973457505</c:v>
                </c:pt>
                <c:pt idx="11">
                  <c:v>12.984808072126734</c:v>
                </c:pt>
                <c:pt idx="12">
                  <c:v>13.162582829370725</c:v>
                </c:pt>
                <c:pt idx="13">
                  <c:v>13.323691273907748</c:v>
                </c:pt>
                <c:pt idx="14">
                  <c:v>13.49523730364575</c:v>
                </c:pt>
                <c:pt idx="15">
                  <c:v>13.664593479636807</c:v>
                </c:pt>
                <c:pt idx="16">
                  <c:v>13.814130843352583</c:v>
                </c:pt>
                <c:pt idx="17">
                  <c:v>13.956398519290516</c:v>
                </c:pt>
                <c:pt idx="18">
                  <c:v>14.102552895210573</c:v>
                </c:pt>
                <c:pt idx="19">
                  <c:v>14.260910627986689</c:v>
                </c:pt>
                <c:pt idx="20">
                  <c:v>14.42774131022499</c:v>
                </c:pt>
                <c:pt idx="21">
                  <c:v>14.593485112398117</c:v>
                </c:pt>
                <c:pt idx="22">
                  <c:v>14.757163136608142</c:v>
                </c:pt>
                <c:pt idx="23">
                  <c:v>14.927809095036238</c:v>
                </c:pt>
                <c:pt idx="24">
                  <c:v>15.111408055036012</c:v>
                </c:pt>
                <c:pt idx="25">
                  <c:v>15.301206610194454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22.377811895442253</c:v>
                </c:pt>
                <c:pt idx="1">
                  <c:v>21.147922737477579</c:v>
                </c:pt>
                <c:pt idx="2">
                  <c:v>21.373272016484549</c:v>
                </c:pt>
                <c:pt idx="3">
                  <c:v>21.38951926771017</c:v>
                </c:pt>
                <c:pt idx="4">
                  <c:v>22.292308176904616</c:v>
                </c:pt>
                <c:pt idx="5">
                  <c:v>23.692567314037611</c:v>
                </c:pt>
                <c:pt idx="6">
                  <c:v>24.089672943557431</c:v>
                </c:pt>
                <c:pt idx="7">
                  <c:v>23.173002025289211</c:v>
                </c:pt>
                <c:pt idx="8">
                  <c:v>25.387472391358401</c:v>
                </c:pt>
                <c:pt idx="9">
                  <c:v>25.522442469208745</c:v>
                </c:pt>
                <c:pt idx="10">
                  <c:v>26.67415223973487</c:v>
                </c:pt>
                <c:pt idx="11">
                  <c:v>30.584511425055727</c:v>
                </c:pt>
                <c:pt idx="12">
                  <c:v>30.950848576356279</c:v>
                </c:pt>
                <c:pt idx="13">
                  <c:v>31.38392542753812</c:v>
                </c:pt>
                <c:pt idx="14">
                  <c:v>31.887494497599565</c:v>
                </c:pt>
                <c:pt idx="15">
                  <c:v>32.331352616593463</c:v>
                </c:pt>
                <c:pt idx="16">
                  <c:v>32.738821698467824</c:v>
                </c:pt>
                <c:pt idx="17">
                  <c:v>33.129988174010208</c:v>
                </c:pt>
                <c:pt idx="18">
                  <c:v>33.515713849750739</c:v>
                </c:pt>
                <c:pt idx="19">
                  <c:v>33.903539207830491</c:v>
                </c:pt>
                <c:pt idx="20">
                  <c:v>34.326048204468954</c:v>
                </c:pt>
                <c:pt idx="21">
                  <c:v>34.744655113261388</c:v>
                </c:pt>
                <c:pt idx="22">
                  <c:v>35.169624735640845</c:v>
                </c:pt>
                <c:pt idx="23">
                  <c:v>35.591619161000544</c:v>
                </c:pt>
                <c:pt idx="24">
                  <c:v>36.027313718101766</c:v>
                </c:pt>
                <c:pt idx="25">
                  <c:v>36.460147888250177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20.190295533415984</c:v>
                </c:pt>
                <c:pt idx="1">
                  <c:v>21.70156410510868</c:v>
                </c:pt>
                <c:pt idx="2">
                  <c:v>22.504275666399398</c:v>
                </c:pt>
                <c:pt idx="3">
                  <c:v>22.874578467079267</c:v>
                </c:pt>
                <c:pt idx="4">
                  <c:v>23.071665541173786</c:v>
                </c:pt>
                <c:pt idx="5">
                  <c:v>21.674771905892207</c:v>
                </c:pt>
                <c:pt idx="6">
                  <c:v>24.616500003749771</c:v>
                </c:pt>
                <c:pt idx="7">
                  <c:v>26.243237289701206</c:v>
                </c:pt>
                <c:pt idx="8">
                  <c:v>25.449093962651084</c:v>
                </c:pt>
                <c:pt idx="9">
                  <c:v>27.315802663195459</c:v>
                </c:pt>
                <c:pt idx="10">
                  <c:v>26.885303796114776</c:v>
                </c:pt>
                <c:pt idx="11">
                  <c:v>25.484947536938776</c:v>
                </c:pt>
                <c:pt idx="12">
                  <c:v>25.726675786960506</c:v>
                </c:pt>
                <c:pt idx="13">
                  <c:v>25.989492309915555</c:v>
                </c:pt>
                <c:pt idx="14">
                  <c:v>26.295795229622467</c:v>
                </c:pt>
                <c:pt idx="15">
                  <c:v>26.54413441665373</c:v>
                </c:pt>
                <c:pt idx="16">
                  <c:v>26.772172397431909</c:v>
                </c:pt>
                <c:pt idx="17">
                  <c:v>26.988497743327557</c:v>
                </c:pt>
                <c:pt idx="18">
                  <c:v>27.163545486327397</c:v>
                </c:pt>
                <c:pt idx="19">
                  <c:v>27.370470347226167</c:v>
                </c:pt>
                <c:pt idx="20">
                  <c:v>27.573922504711341</c:v>
                </c:pt>
                <c:pt idx="21">
                  <c:v>27.78040092922064</c:v>
                </c:pt>
                <c:pt idx="22">
                  <c:v>27.984584447828627</c:v>
                </c:pt>
                <c:pt idx="23">
                  <c:v>28.191988415654016</c:v>
                </c:pt>
                <c:pt idx="24">
                  <c:v>28.394571433941138</c:v>
                </c:pt>
                <c:pt idx="25">
                  <c:v>28.579623063913772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20.456879175385708</c:v>
                </c:pt>
                <c:pt idx="1">
                  <c:v>21.055623593171269</c:v>
                </c:pt>
                <c:pt idx="2">
                  <c:v>19.699149496513833</c:v>
                </c:pt>
                <c:pt idx="3">
                  <c:v>19.701836017610951</c:v>
                </c:pt>
                <c:pt idx="4">
                  <c:v>19.41236908695241</c:v>
                </c:pt>
                <c:pt idx="5">
                  <c:v>19.540374765671235</c:v>
                </c:pt>
                <c:pt idx="6">
                  <c:v>20.300023917060315</c:v>
                </c:pt>
                <c:pt idx="7">
                  <c:v>19.85962826589396</c:v>
                </c:pt>
                <c:pt idx="8">
                  <c:v>19.555534387074616</c:v>
                </c:pt>
                <c:pt idx="9">
                  <c:v>20.765597855160532</c:v>
                </c:pt>
                <c:pt idx="10">
                  <c:v>22.026617843508607</c:v>
                </c:pt>
                <c:pt idx="11">
                  <c:v>21.042952128097475</c:v>
                </c:pt>
                <c:pt idx="12">
                  <c:v>21.216801564954341</c:v>
                </c:pt>
                <c:pt idx="13">
                  <c:v>21.457775128923572</c:v>
                </c:pt>
                <c:pt idx="14">
                  <c:v>21.728442336362058</c:v>
                </c:pt>
                <c:pt idx="15">
                  <c:v>21.969692618216403</c:v>
                </c:pt>
                <c:pt idx="16">
                  <c:v>22.211058677789687</c:v>
                </c:pt>
                <c:pt idx="17">
                  <c:v>22.452927620239169</c:v>
                </c:pt>
                <c:pt idx="18">
                  <c:v>22.68441556001617</c:v>
                </c:pt>
                <c:pt idx="19">
                  <c:v>22.89791829591648</c:v>
                </c:pt>
                <c:pt idx="20">
                  <c:v>23.120233394978808</c:v>
                </c:pt>
                <c:pt idx="21">
                  <c:v>23.35175936660082</c:v>
                </c:pt>
                <c:pt idx="22">
                  <c:v>23.556573071221266</c:v>
                </c:pt>
                <c:pt idx="23">
                  <c:v>23.765156584793846</c:v>
                </c:pt>
                <c:pt idx="24">
                  <c:v>23.970926432272623</c:v>
                </c:pt>
                <c:pt idx="25">
                  <c:v>24.165356288680911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23.181834838611625</c:v>
                </c:pt>
                <c:pt idx="1">
                  <c:v>21.826206115414504</c:v>
                </c:pt>
                <c:pt idx="2">
                  <c:v>20.995130824054328</c:v>
                </c:pt>
                <c:pt idx="3">
                  <c:v>22.355232032549083</c:v>
                </c:pt>
                <c:pt idx="4">
                  <c:v>22.389596756490544</c:v>
                </c:pt>
                <c:pt idx="5">
                  <c:v>22.806193659159341</c:v>
                </c:pt>
                <c:pt idx="6">
                  <c:v>23.880882131659085</c:v>
                </c:pt>
                <c:pt idx="7">
                  <c:v>24.162927613730837</c:v>
                </c:pt>
                <c:pt idx="8">
                  <c:v>25.683521007827142</c:v>
                </c:pt>
                <c:pt idx="9">
                  <c:v>25.456333561960076</c:v>
                </c:pt>
                <c:pt idx="10">
                  <c:v>27.957759360330201</c:v>
                </c:pt>
                <c:pt idx="11">
                  <c:v>27.882756436110437</c:v>
                </c:pt>
                <c:pt idx="12">
                  <c:v>28.109330533576806</c:v>
                </c:pt>
                <c:pt idx="13">
                  <c:v>28.416837823671454</c:v>
                </c:pt>
                <c:pt idx="14">
                  <c:v>28.794442168524952</c:v>
                </c:pt>
                <c:pt idx="15">
                  <c:v>29.117208402464584</c:v>
                </c:pt>
                <c:pt idx="16">
                  <c:v>29.426402724452764</c:v>
                </c:pt>
                <c:pt idx="17">
                  <c:v>29.739483594139326</c:v>
                </c:pt>
                <c:pt idx="18">
                  <c:v>30.0722207296965</c:v>
                </c:pt>
                <c:pt idx="19">
                  <c:v>30.401367746652877</c:v>
                </c:pt>
                <c:pt idx="20">
                  <c:v>30.753767265778574</c:v>
                </c:pt>
                <c:pt idx="21">
                  <c:v>31.103052703437125</c:v>
                </c:pt>
                <c:pt idx="22">
                  <c:v>31.455854408848911</c:v>
                </c:pt>
                <c:pt idx="23">
                  <c:v>31.817851170811881</c:v>
                </c:pt>
                <c:pt idx="24">
                  <c:v>32.179308224145416</c:v>
                </c:pt>
                <c:pt idx="25">
                  <c:v>32.53409025770577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8.0026378401912979</c:v>
                </c:pt>
                <c:pt idx="1">
                  <c:v>7.8918188838311796</c:v>
                </c:pt>
                <c:pt idx="2">
                  <c:v>7.9566676567861299</c:v>
                </c:pt>
                <c:pt idx="3">
                  <c:v>8.095071965655249</c:v>
                </c:pt>
                <c:pt idx="4">
                  <c:v>7.5275931013521182</c:v>
                </c:pt>
                <c:pt idx="5">
                  <c:v>7.6396337675645283</c:v>
                </c:pt>
                <c:pt idx="6">
                  <c:v>7.7316004319096425</c:v>
                </c:pt>
                <c:pt idx="7">
                  <c:v>8.4433808137116024</c:v>
                </c:pt>
                <c:pt idx="8">
                  <c:v>8.618911060917954</c:v>
                </c:pt>
                <c:pt idx="9">
                  <c:v>8.077817744101548</c:v>
                </c:pt>
                <c:pt idx="10">
                  <c:v>8.7119007645620972</c:v>
                </c:pt>
                <c:pt idx="11">
                  <c:v>7.8154822069366414</c:v>
                </c:pt>
                <c:pt idx="12">
                  <c:v>7.8519011465352007</c:v>
                </c:pt>
                <c:pt idx="13">
                  <c:v>7.8997690159201683</c:v>
                </c:pt>
                <c:pt idx="14">
                  <c:v>7.9659935916920501</c:v>
                </c:pt>
                <c:pt idx="15">
                  <c:v>8.0146156799495873</c:v>
                </c:pt>
                <c:pt idx="16">
                  <c:v>8.058922224212111</c:v>
                </c:pt>
                <c:pt idx="17">
                  <c:v>8.0985750127382072</c:v>
                </c:pt>
                <c:pt idx="18">
                  <c:v>8.1399103325282347</c:v>
                </c:pt>
                <c:pt idx="19">
                  <c:v>8.1736007712211318</c:v>
                </c:pt>
                <c:pt idx="20">
                  <c:v>8.2107619326212209</c:v>
                </c:pt>
                <c:pt idx="21">
                  <c:v>8.2529179019557155</c:v>
                </c:pt>
                <c:pt idx="22">
                  <c:v>8.2928843329108926</c:v>
                </c:pt>
                <c:pt idx="23">
                  <c:v>8.3325113445622101</c:v>
                </c:pt>
                <c:pt idx="24">
                  <c:v>8.3801076698848807</c:v>
                </c:pt>
                <c:pt idx="25">
                  <c:v>8.4283160725445487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7.4533977210465165</c:v>
                </c:pt>
                <c:pt idx="1">
                  <c:v>9.6402914284411594</c:v>
                </c:pt>
                <c:pt idx="2">
                  <c:v>9.6565284049571449</c:v>
                </c:pt>
                <c:pt idx="3">
                  <c:v>9.3633055853096199</c:v>
                </c:pt>
                <c:pt idx="4">
                  <c:v>9.4873040570003777</c:v>
                </c:pt>
                <c:pt idx="5">
                  <c:v>9.0328897579836376</c:v>
                </c:pt>
                <c:pt idx="6">
                  <c:v>10.067518877132974</c:v>
                </c:pt>
                <c:pt idx="7">
                  <c:v>10.260715582861986</c:v>
                </c:pt>
                <c:pt idx="8">
                  <c:v>10.639545655659223</c:v>
                </c:pt>
                <c:pt idx="9">
                  <c:v>10.95672977042833</c:v>
                </c:pt>
                <c:pt idx="10">
                  <c:v>11.001883705458065</c:v>
                </c:pt>
                <c:pt idx="11">
                  <c:v>16.23493999390395</c:v>
                </c:pt>
                <c:pt idx="12">
                  <c:v>16.581418807358681</c:v>
                </c:pt>
                <c:pt idx="13">
                  <c:v>16.940217895142144</c:v>
                </c:pt>
                <c:pt idx="14">
                  <c:v>17.329627726360158</c:v>
                </c:pt>
                <c:pt idx="15">
                  <c:v>17.680149098148942</c:v>
                </c:pt>
                <c:pt idx="16">
                  <c:v>18.014640162263404</c:v>
                </c:pt>
                <c:pt idx="17">
                  <c:v>18.345791199127664</c:v>
                </c:pt>
                <c:pt idx="18">
                  <c:v>18.688578097210915</c:v>
                </c:pt>
                <c:pt idx="19">
                  <c:v>19.027156568805363</c:v>
                </c:pt>
                <c:pt idx="20">
                  <c:v>19.366276900294569</c:v>
                </c:pt>
                <c:pt idx="21">
                  <c:v>19.690003395597188</c:v>
                </c:pt>
                <c:pt idx="22">
                  <c:v>20.009658742891062</c:v>
                </c:pt>
                <c:pt idx="23">
                  <c:v>20.357763842913297</c:v>
                </c:pt>
                <c:pt idx="24">
                  <c:v>20.707567011034541</c:v>
                </c:pt>
                <c:pt idx="25">
                  <c:v>21.055821572998454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4.3847456175225963</c:v>
                </c:pt>
                <c:pt idx="1">
                  <c:v>4.9115292651673448</c:v>
                </c:pt>
                <c:pt idx="2">
                  <c:v>5.1879496914215508</c:v>
                </c:pt>
                <c:pt idx="3">
                  <c:v>4.5116944284687852</c:v>
                </c:pt>
                <c:pt idx="4">
                  <c:v>4.7548846718762015</c:v>
                </c:pt>
                <c:pt idx="5">
                  <c:v>4.4444232941510675</c:v>
                </c:pt>
                <c:pt idx="6">
                  <c:v>4.8746564590373804</c:v>
                </c:pt>
                <c:pt idx="7">
                  <c:v>4.676208807640184</c:v>
                </c:pt>
                <c:pt idx="8">
                  <c:v>4.5919056855440168</c:v>
                </c:pt>
                <c:pt idx="9">
                  <c:v>4.4270085893151121</c:v>
                </c:pt>
                <c:pt idx="10">
                  <c:v>4.6873216411379666</c:v>
                </c:pt>
                <c:pt idx="11">
                  <c:v>3.8525308087656853</c:v>
                </c:pt>
                <c:pt idx="12">
                  <c:v>3.8948131279753908</c:v>
                </c:pt>
                <c:pt idx="13">
                  <c:v>3.9428531196105729</c:v>
                </c:pt>
                <c:pt idx="14">
                  <c:v>4.0017784635565326</c:v>
                </c:pt>
                <c:pt idx="15">
                  <c:v>4.0581613546153656</c:v>
                </c:pt>
                <c:pt idx="16">
                  <c:v>4.1010754762309976</c:v>
                </c:pt>
                <c:pt idx="17">
                  <c:v>4.141769151668913</c:v>
                </c:pt>
                <c:pt idx="18">
                  <c:v>4.16946411438804</c:v>
                </c:pt>
                <c:pt idx="19">
                  <c:v>4.2192408933339731</c:v>
                </c:pt>
                <c:pt idx="20">
                  <c:v>4.2556795079149445</c:v>
                </c:pt>
                <c:pt idx="21">
                  <c:v>4.291783265899463</c:v>
                </c:pt>
                <c:pt idx="22">
                  <c:v>4.3167468241689884</c:v>
                </c:pt>
                <c:pt idx="23">
                  <c:v>4.3694149889279021</c:v>
                </c:pt>
                <c:pt idx="24">
                  <c:v>4.396658789070985</c:v>
                </c:pt>
                <c:pt idx="25">
                  <c:v>4.4519253372123764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6.1358370109161919</c:v>
                </c:pt>
                <c:pt idx="1">
                  <c:v>5.4715088391413067</c:v>
                </c:pt>
                <c:pt idx="2">
                  <c:v>5.9313934480462045</c:v>
                </c:pt>
                <c:pt idx="3">
                  <c:v>6.1979401114567665</c:v>
                </c:pt>
                <c:pt idx="4">
                  <c:v>6.3931837189110832</c:v>
                </c:pt>
                <c:pt idx="5">
                  <c:v>7.5269975158661087</c:v>
                </c:pt>
                <c:pt idx="6">
                  <c:v>6.901704513757366</c:v>
                </c:pt>
                <c:pt idx="7">
                  <c:v>7.3001313924002416</c:v>
                </c:pt>
                <c:pt idx="8">
                  <c:v>6.6834593502709687</c:v>
                </c:pt>
                <c:pt idx="9">
                  <c:v>7.4707121265529306</c:v>
                </c:pt>
                <c:pt idx="10">
                  <c:v>7.6956038424600592</c:v>
                </c:pt>
                <c:pt idx="11">
                  <c:v>6.5926783745323458</c:v>
                </c:pt>
                <c:pt idx="12">
                  <c:v>6.482429479434499</c:v>
                </c:pt>
                <c:pt idx="13">
                  <c:v>6.4840839145934428</c:v>
                </c:pt>
                <c:pt idx="14">
                  <c:v>6.5572983869707073</c:v>
                </c:pt>
                <c:pt idx="15">
                  <c:v>6.6237757922128777</c:v>
                </c:pt>
                <c:pt idx="16">
                  <c:v>6.6817764358186151</c:v>
                </c:pt>
                <c:pt idx="17">
                  <c:v>6.7373164559830316</c:v>
                </c:pt>
                <c:pt idx="18">
                  <c:v>6.7934236250218554</c:v>
                </c:pt>
                <c:pt idx="19">
                  <c:v>6.8516628953631509</c:v>
                </c:pt>
                <c:pt idx="20">
                  <c:v>6.9163311270490508</c:v>
                </c:pt>
                <c:pt idx="21">
                  <c:v>6.974713838818829</c:v>
                </c:pt>
                <c:pt idx="22">
                  <c:v>7.0407353930975782</c:v>
                </c:pt>
                <c:pt idx="23">
                  <c:v>7.1101317053477757</c:v>
                </c:pt>
                <c:pt idx="24">
                  <c:v>7.1742310849897191</c:v>
                </c:pt>
                <c:pt idx="25">
                  <c:v>7.2418470917099587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27.396421917111951</c:v>
                </c:pt>
                <c:pt idx="1">
                  <c:v>25.170550804360587</c:v>
                </c:pt>
                <c:pt idx="2">
                  <c:v>25.785441661630312</c:v>
                </c:pt>
                <c:pt idx="3">
                  <c:v>25.848239309712579</c:v>
                </c:pt>
                <c:pt idx="4">
                  <c:v>26.610150107326568</c:v>
                </c:pt>
                <c:pt idx="5">
                  <c:v>27.483441028271098</c:v>
                </c:pt>
                <c:pt idx="6">
                  <c:v>27.354400172788644</c:v>
                </c:pt>
                <c:pt idx="7">
                  <c:v>28.465554515110441</c:v>
                </c:pt>
                <c:pt idx="8">
                  <c:v>28.199689935393778</c:v>
                </c:pt>
                <c:pt idx="9">
                  <c:v>27.784113801495693</c:v>
                </c:pt>
                <c:pt idx="10">
                  <c:v>28.718892057032409</c:v>
                </c:pt>
                <c:pt idx="11">
                  <c:v>28.096094200104869</c:v>
                </c:pt>
                <c:pt idx="12">
                  <c:v>28.231960806747463</c:v>
                </c:pt>
                <c:pt idx="13">
                  <c:v>28.403473791440305</c:v>
                </c:pt>
                <c:pt idx="14">
                  <c:v>28.625037726235938</c:v>
                </c:pt>
                <c:pt idx="15">
                  <c:v>28.782348842639074</c:v>
                </c:pt>
                <c:pt idx="16">
                  <c:v>28.916110864929045</c:v>
                </c:pt>
                <c:pt idx="17">
                  <c:v>29.040512978859791</c:v>
                </c:pt>
                <c:pt idx="18">
                  <c:v>29.188975349308965</c:v>
                </c:pt>
                <c:pt idx="19">
                  <c:v>29.332626776366556</c:v>
                </c:pt>
                <c:pt idx="20">
                  <c:v>29.496665920596229</c:v>
                </c:pt>
                <c:pt idx="21">
                  <c:v>29.662070437916896</c:v>
                </c:pt>
                <c:pt idx="22">
                  <c:v>29.831611485222755</c:v>
                </c:pt>
                <c:pt idx="23">
                  <c:v>29.991126299678367</c:v>
                </c:pt>
                <c:pt idx="24">
                  <c:v>30.169292474128479</c:v>
                </c:pt>
                <c:pt idx="25">
                  <c:v>30.332034577933754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45.161833904360783</c:v>
                </c:pt>
                <c:pt idx="1">
                  <c:v>46.115132316247106</c:v>
                </c:pt>
                <c:pt idx="2">
                  <c:v>47.259612307060713</c:v>
                </c:pt>
                <c:pt idx="3">
                  <c:v>45.025754410125693</c:v>
                </c:pt>
                <c:pt idx="4">
                  <c:v>46.156371669307241</c:v>
                </c:pt>
                <c:pt idx="5">
                  <c:v>49.13839945665805</c:v>
                </c:pt>
                <c:pt idx="6">
                  <c:v>47.207392482003854</c:v>
                </c:pt>
                <c:pt idx="7">
                  <c:v>48.978127392640424</c:v>
                </c:pt>
                <c:pt idx="8">
                  <c:v>47.50528606050662</c:v>
                </c:pt>
                <c:pt idx="9">
                  <c:v>45.165151846246381</c:v>
                </c:pt>
                <c:pt idx="10">
                  <c:v>47.19806700974938</c:v>
                </c:pt>
                <c:pt idx="11">
                  <c:v>48.521030989910265</c:v>
                </c:pt>
                <c:pt idx="12">
                  <c:v>48.62660030461786</c:v>
                </c:pt>
                <c:pt idx="13">
                  <c:v>48.723386233326174</c:v>
                </c:pt>
                <c:pt idx="14">
                  <c:v>48.874779378086927</c:v>
                </c:pt>
                <c:pt idx="15">
                  <c:v>48.934345395177246</c:v>
                </c:pt>
                <c:pt idx="16">
                  <c:v>48.927854583739013</c:v>
                </c:pt>
                <c:pt idx="17">
                  <c:v>48.865408449766718</c:v>
                </c:pt>
                <c:pt idx="18">
                  <c:v>48.781326157439551</c:v>
                </c:pt>
                <c:pt idx="19">
                  <c:v>48.705437401308153</c:v>
                </c:pt>
                <c:pt idx="20">
                  <c:v>48.659816475317555</c:v>
                </c:pt>
                <c:pt idx="21">
                  <c:v>48.595596153685619</c:v>
                </c:pt>
                <c:pt idx="22">
                  <c:v>48.503865639209117</c:v>
                </c:pt>
                <c:pt idx="23">
                  <c:v>48.40223085676103</c:v>
                </c:pt>
                <c:pt idx="24">
                  <c:v>48.273035160713384</c:v>
                </c:pt>
                <c:pt idx="25">
                  <c:v>48.119806641230511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12.677210249266141</c:v>
                </c:pt>
                <c:pt idx="1">
                  <c:v>11.79313347014247</c:v>
                </c:pt>
                <c:pt idx="2">
                  <c:v>11.397119315294336</c:v>
                </c:pt>
                <c:pt idx="3">
                  <c:v>11.40481454397508</c:v>
                </c:pt>
                <c:pt idx="4">
                  <c:v>11.296172004140892</c:v>
                </c:pt>
                <c:pt idx="5">
                  <c:v>10.999553279205751</c:v>
                </c:pt>
                <c:pt idx="6">
                  <c:v>10.405000766087859</c:v>
                </c:pt>
                <c:pt idx="7">
                  <c:v>11.127101017212677</c:v>
                </c:pt>
                <c:pt idx="8">
                  <c:v>10.89016882431976</c:v>
                </c:pt>
                <c:pt idx="9">
                  <c:v>9.4948630690001181</c:v>
                </c:pt>
                <c:pt idx="10">
                  <c:v>9.2803332734652102</c:v>
                </c:pt>
                <c:pt idx="11">
                  <c:v>9.2229906294252366</c:v>
                </c:pt>
                <c:pt idx="12">
                  <c:v>9.1051740138672326</c:v>
                </c:pt>
                <c:pt idx="13">
                  <c:v>8.9455234029814577</c:v>
                </c:pt>
                <c:pt idx="14">
                  <c:v>8.7828592870581037</c:v>
                </c:pt>
                <c:pt idx="15">
                  <c:v>8.5683495355485668</c:v>
                </c:pt>
                <c:pt idx="16">
                  <c:v>8.2790560122975378</c:v>
                </c:pt>
                <c:pt idx="17">
                  <c:v>8.0044120477194394</c:v>
                </c:pt>
                <c:pt idx="18">
                  <c:v>7.7009934956836306</c:v>
                </c:pt>
                <c:pt idx="19">
                  <c:v>7.3735186220704341</c:v>
                </c:pt>
                <c:pt idx="20">
                  <c:v>7.0418345244859051</c:v>
                </c:pt>
                <c:pt idx="21">
                  <c:v>6.6973245697938655</c:v>
                </c:pt>
                <c:pt idx="22">
                  <c:v>6.3750084277828707</c:v>
                </c:pt>
                <c:pt idx="23">
                  <c:v>5.9894477276361933</c:v>
                </c:pt>
                <c:pt idx="24">
                  <c:v>5.6545381434970423</c:v>
                </c:pt>
                <c:pt idx="25">
                  <c:v>5.4074642547867375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4.0804356626135707</c:v>
                </c:pt>
                <c:pt idx="1">
                  <c:v>3.5904698845939786</c:v>
                </c:pt>
                <c:pt idx="2">
                  <c:v>4.3377884149111736</c:v>
                </c:pt>
                <c:pt idx="3">
                  <c:v>3.2697117352010374</c:v>
                </c:pt>
                <c:pt idx="4">
                  <c:v>3.2934022970348691</c:v>
                </c:pt>
                <c:pt idx="5">
                  <c:v>4.3313158907234133</c:v>
                </c:pt>
                <c:pt idx="6">
                  <c:v>3.5746174495726146</c:v>
                </c:pt>
                <c:pt idx="7">
                  <c:v>3.2279705212636531</c:v>
                </c:pt>
                <c:pt idx="8">
                  <c:v>3.8565027737642157</c:v>
                </c:pt>
                <c:pt idx="9">
                  <c:v>3.8065912759839784</c:v>
                </c:pt>
                <c:pt idx="10">
                  <c:v>3.1931450848658716</c:v>
                </c:pt>
                <c:pt idx="11">
                  <c:v>3.000025546873188</c:v>
                </c:pt>
                <c:pt idx="12">
                  <c:v>3.0229955747757788</c:v>
                </c:pt>
                <c:pt idx="13">
                  <c:v>3.0739443956127133</c:v>
                </c:pt>
                <c:pt idx="14">
                  <c:v>3.1338122591334989</c:v>
                </c:pt>
                <c:pt idx="15">
                  <c:v>3.1783302802326965</c:v>
                </c:pt>
                <c:pt idx="16">
                  <c:v>3.2164484202735721</c:v>
                </c:pt>
                <c:pt idx="17">
                  <c:v>3.2540898516374219</c:v>
                </c:pt>
                <c:pt idx="18">
                  <c:v>3.2905192035288575</c:v>
                </c:pt>
                <c:pt idx="19">
                  <c:v>3.3255755888374736</c:v>
                </c:pt>
                <c:pt idx="20">
                  <c:v>3.360905788842615</c:v>
                </c:pt>
                <c:pt idx="21">
                  <c:v>3.3965502655477238</c:v>
                </c:pt>
                <c:pt idx="22">
                  <c:v>3.431174816528475</c:v>
                </c:pt>
                <c:pt idx="23">
                  <c:v>3.4663555657555989</c:v>
                </c:pt>
                <c:pt idx="24">
                  <c:v>3.5009461510901092</c:v>
                </c:pt>
                <c:pt idx="25">
                  <c:v>3.5350171502669578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26.66129865315596</c:v>
                </c:pt>
                <c:pt idx="1">
                  <c:v>27.83055534218758</c:v>
                </c:pt>
                <c:pt idx="2">
                  <c:v>26.20716600711464</c:v>
                </c:pt>
                <c:pt idx="3">
                  <c:v>26.962480865521833</c:v>
                </c:pt>
                <c:pt idx="4">
                  <c:v>27.624335576488797</c:v>
                </c:pt>
                <c:pt idx="5">
                  <c:v>28.622677836919465</c:v>
                </c:pt>
                <c:pt idx="6">
                  <c:v>25.724720859878783</c:v>
                </c:pt>
                <c:pt idx="7">
                  <c:v>25.63521216485772</c:v>
                </c:pt>
                <c:pt idx="8">
                  <c:v>26.539787075308936</c:v>
                </c:pt>
                <c:pt idx="9">
                  <c:v>28.343637186861034</c:v>
                </c:pt>
                <c:pt idx="10">
                  <c:v>23.236826282247673</c:v>
                </c:pt>
                <c:pt idx="11">
                  <c:v>23.338179841592442</c:v>
                </c:pt>
                <c:pt idx="12">
                  <c:v>23.111060609401886</c:v>
                </c:pt>
                <c:pt idx="13">
                  <c:v>22.912356059530879</c:v>
                </c:pt>
                <c:pt idx="14">
                  <c:v>22.78118011778616</c:v>
                </c:pt>
                <c:pt idx="15">
                  <c:v>22.623948301451765</c:v>
                </c:pt>
                <c:pt idx="16">
                  <c:v>22.441532561883982</c:v>
                </c:pt>
                <c:pt idx="17">
                  <c:v>22.248036254789426</c:v>
                </c:pt>
                <c:pt idx="18">
                  <c:v>22.048520613267414</c:v>
                </c:pt>
                <c:pt idx="19">
                  <c:v>21.84774778894473</c:v>
                </c:pt>
                <c:pt idx="20">
                  <c:v>21.668451555421981</c:v>
                </c:pt>
                <c:pt idx="21">
                  <c:v>21.49455736296817</c:v>
                </c:pt>
                <c:pt idx="22">
                  <c:v>21.333805775260451</c:v>
                </c:pt>
                <c:pt idx="23">
                  <c:v>21.171406898518121</c:v>
                </c:pt>
                <c:pt idx="24">
                  <c:v>21.006995832243216</c:v>
                </c:pt>
                <c:pt idx="25">
                  <c:v>20.841134342227381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21.939953590862327</c:v>
                </c:pt>
                <c:pt idx="1">
                  <c:v>19.266645040314835</c:v>
                </c:pt>
                <c:pt idx="2">
                  <c:v>19.142441405836848</c:v>
                </c:pt>
                <c:pt idx="3">
                  <c:v>18.733869847113905</c:v>
                </c:pt>
                <c:pt idx="4">
                  <c:v>17.544630040894642</c:v>
                </c:pt>
                <c:pt idx="5">
                  <c:v>18.67563056886091</c:v>
                </c:pt>
                <c:pt idx="6">
                  <c:v>16.649291473084322</c:v>
                </c:pt>
                <c:pt idx="7">
                  <c:v>17.534964933690937</c:v>
                </c:pt>
                <c:pt idx="8">
                  <c:v>19.903460972146664</c:v>
                </c:pt>
                <c:pt idx="9">
                  <c:v>21.339556958033437</c:v>
                </c:pt>
                <c:pt idx="10">
                  <c:v>17.473473402618112</c:v>
                </c:pt>
                <c:pt idx="11">
                  <c:v>17.802074456191345</c:v>
                </c:pt>
                <c:pt idx="12">
                  <c:v>17.553871641391563</c:v>
                </c:pt>
                <c:pt idx="13">
                  <c:v>17.259630879328128</c:v>
                </c:pt>
                <c:pt idx="14">
                  <c:v>17.030632221728105</c:v>
                </c:pt>
                <c:pt idx="15">
                  <c:v>16.813170514329276</c:v>
                </c:pt>
                <c:pt idx="16">
                  <c:v>16.570183066320478</c:v>
                </c:pt>
                <c:pt idx="17">
                  <c:v>16.320714124061801</c:v>
                </c:pt>
                <c:pt idx="18">
                  <c:v>16.090764522811561</c:v>
                </c:pt>
                <c:pt idx="19">
                  <c:v>15.851978954891868</c:v>
                </c:pt>
                <c:pt idx="20">
                  <c:v>15.61182897587652</c:v>
                </c:pt>
                <c:pt idx="21">
                  <c:v>15.366536379950059</c:v>
                </c:pt>
                <c:pt idx="22">
                  <c:v>15.12452646765809</c:v>
                </c:pt>
                <c:pt idx="23">
                  <c:v>14.88711305207852</c:v>
                </c:pt>
                <c:pt idx="24">
                  <c:v>14.645437009021991</c:v>
                </c:pt>
                <c:pt idx="25">
                  <c:v>14.401581227548823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9.6015722392637031</c:v>
                </c:pt>
                <c:pt idx="1">
                  <c:v>8.9838529469678647</c:v>
                </c:pt>
                <c:pt idx="2">
                  <c:v>10.009486938188639</c:v>
                </c:pt>
                <c:pt idx="3">
                  <c:v>9.6592983910193144</c:v>
                </c:pt>
                <c:pt idx="4">
                  <c:v>10.070314235423769</c:v>
                </c:pt>
                <c:pt idx="5">
                  <c:v>9.6691034984265638</c:v>
                </c:pt>
                <c:pt idx="6">
                  <c:v>9.4349713612709731</c:v>
                </c:pt>
                <c:pt idx="7">
                  <c:v>10.017404449920406</c:v>
                </c:pt>
                <c:pt idx="8">
                  <c:v>8.8205941600197484</c:v>
                </c:pt>
                <c:pt idx="9">
                  <c:v>8.4461052767901954</c:v>
                </c:pt>
                <c:pt idx="10">
                  <c:v>8.3294023293213026</c:v>
                </c:pt>
                <c:pt idx="11">
                  <c:v>8.7346003628360904</c:v>
                </c:pt>
                <c:pt idx="12">
                  <c:v>8.6812833971350916</c:v>
                </c:pt>
                <c:pt idx="13">
                  <c:v>8.5838788139841959</c:v>
                </c:pt>
                <c:pt idx="14">
                  <c:v>8.4993582567234611</c:v>
                </c:pt>
                <c:pt idx="15">
                  <c:v>8.418630701072793</c:v>
                </c:pt>
                <c:pt idx="16">
                  <c:v>8.3557791134695645</c:v>
                </c:pt>
                <c:pt idx="17">
                  <c:v>8.2933978367703514</c:v>
                </c:pt>
                <c:pt idx="18">
                  <c:v>8.2410548810237412</c:v>
                </c:pt>
                <c:pt idx="19">
                  <c:v>8.1958658128328121</c:v>
                </c:pt>
                <c:pt idx="20">
                  <c:v>8.1573229237486728</c:v>
                </c:pt>
                <c:pt idx="21">
                  <c:v>8.1177118744753507</c:v>
                </c:pt>
                <c:pt idx="22">
                  <c:v>8.0787232112072669</c:v>
                </c:pt>
                <c:pt idx="23">
                  <c:v>8.0427773296705354</c:v>
                </c:pt>
                <c:pt idx="24">
                  <c:v>8.0105308423270714</c:v>
                </c:pt>
                <c:pt idx="25">
                  <c:v>7.9851910077103829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40.033207993116129</c:v>
                </c:pt>
                <c:pt idx="1">
                  <c:v>37.959200933851491</c:v>
                </c:pt>
                <c:pt idx="2">
                  <c:v>38.406042557451272</c:v>
                </c:pt>
                <c:pt idx="3">
                  <c:v>38.25971965827393</c:v>
                </c:pt>
                <c:pt idx="4">
                  <c:v>39.543933941939827</c:v>
                </c:pt>
                <c:pt idx="5">
                  <c:v>38.549226321705426</c:v>
                </c:pt>
                <c:pt idx="6">
                  <c:v>41.942520287753219</c:v>
                </c:pt>
                <c:pt idx="7">
                  <c:v>42.545881975677794</c:v>
                </c:pt>
                <c:pt idx="8">
                  <c:v>40.176890723472624</c:v>
                </c:pt>
                <c:pt idx="9">
                  <c:v>41.06186937421402</c:v>
                </c:pt>
                <c:pt idx="10">
                  <c:v>39.709013980070296</c:v>
                </c:pt>
                <c:pt idx="11">
                  <c:v>39.796551981074991</c:v>
                </c:pt>
                <c:pt idx="12">
                  <c:v>40.17282886044498</c:v>
                </c:pt>
                <c:pt idx="13">
                  <c:v>40.600369369332732</c:v>
                </c:pt>
                <c:pt idx="14">
                  <c:v>41.081983670496363</c:v>
                </c:pt>
                <c:pt idx="15">
                  <c:v>41.475231244635403</c:v>
                </c:pt>
                <c:pt idx="16">
                  <c:v>41.831936540313038</c:v>
                </c:pt>
                <c:pt idx="17">
                  <c:v>42.179221100591789</c:v>
                </c:pt>
                <c:pt idx="18">
                  <c:v>42.547585271868698</c:v>
                </c:pt>
                <c:pt idx="19">
                  <c:v>42.905327238838119</c:v>
                </c:pt>
                <c:pt idx="20">
                  <c:v>43.25767196237328</c:v>
                </c:pt>
                <c:pt idx="21">
                  <c:v>43.624314735919803</c:v>
                </c:pt>
                <c:pt idx="22">
                  <c:v>43.986333743748489</c:v>
                </c:pt>
                <c:pt idx="23">
                  <c:v>44.372229798544247</c:v>
                </c:pt>
                <c:pt idx="24">
                  <c:v>44.758132635091087</c:v>
                </c:pt>
                <c:pt idx="25">
                  <c:v>45.131434884626096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8.9170316585108402</c:v>
                </c:pt>
                <c:pt idx="1">
                  <c:v>10.106101074173059</c:v>
                </c:pt>
                <c:pt idx="2">
                  <c:v>9.5986225024087659</c:v>
                </c:pt>
                <c:pt idx="3">
                  <c:v>9.629906686369667</c:v>
                </c:pt>
                <c:pt idx="4">
                  <c:v>9.3786792670014645</c:v>
                </c:pt>
                <c:pt idx="5">
                  <c:v>11.482295485656088</c:v>
                </c:pt>
                <c:pt idx="6">
                  <c:v>11.59041013138896</c:v>
                </c:pt>
                <c:pt idx="7">
                  <c:v>11.344925892794912</c:v>
                </c:pt>
                <c:pt idx="8">
                  <c:v>10.053805296838449</c:v>
                </c:pt>
                <c:pt idx="9">
                  <c:v>10.028377892597495</c:v>
                </c:pt>
                <c:pt idx="10">
                  <c:v>9.1820078898329758</c:v>
                </c:pt>
                <c:pt idx="11">
                  <c:v>8.4633732149837755</c:v>
                </c:pt>
                <c:pt idx="12">
                  <c:v>8.453901237748342</c:v>
                </c:pt>
                <c:pt idx="13">
                  <c:v>8.4589634797514908</c:v>
                </c:pt>
                <c:pt idx="14">
                  <c:v>8.4761662827212447</c:v>
                </c:pt>
                <c:pt idx="15">
                  <c:v>8.4814204479781505</c:v>
                </c:pt>
                <c:pt idx="16">
                  <c:v>8.4810299922760883</c:v>
                </c:pt>
                <c:pt idx="17">
                  <c:v>8.4773581309553396</c:v>
                </c:pt>
                <c:pt idx="18">
                  <c:v>8.4691619641651492</c:v>
                </c:pt>
                <c:pt idx="19">
                  <c:v>8.4584087074777905</c:v>
                </c:pt>
                <c:pt idx="20">
                  <c:v>8.449667638645888</c:v>
                </c:pt>
                <c:pt idx="21">
                  <c:v>8.4422304498937866</c:v>
                </c:pt>
                <c:pt idx="22">
                  <c:v>8.4333252347715515</c:v>
                </c:pt>
                <c:pt idx="23">
                  <c:v>8.4215295495555402</c:v>
                </c:pt>
                <c:pt idx="24">
                  <c:v>8.4158876783859125</c:v>
                </c:pt>
                <c:pt idx="25">
                  <c:v>8.4132106883947344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0.69931281484444596</c:v>
                </c:pt>
                <c:pt idx="1">
                  <c:v>0.47173256635525912</c:v>
                </c:pt>
                <c:pt idx="2">
                  <c:v>0.49885847169289999</c:v>
                </c:pt>
                <c:pt idx="3">
                  <c:v>0.43077282967818464</c:v>
                </c:pt>
                <c:pt idx="4">
                  <c:v>0.50545336541669728</c:v>
                </c:pt>
                <c:pt idx="5">
                  <c:v>0.44667082132503066</c:v>
                </c:pt>
                <c:pt idx="6">
                  <c:v>0.38144392549890038</c:v>
                </c:pt>
                <c:pt idx="7">
                  <c:v>0.4126788318053074</c:v>
                </c:pt>
                <c:pt idx="8">
                  <c:v>0.43019657578683407</c:v>
                </c:pt>
                <c:pt idx="9">
                  <c:v>0.3674632446263803</c:v>
                </c:pt>
                <c:pt idx="10">
                  <c:v>0.44693455623107448</c:v>
                </c:pt>
                <c:pt idx="11">
                  <c:v>0.32347867998120783</c:v>
                </c:pt>
                <c:pt idx="12">
                  <c:v>0.3271134614801115</c:v>
                </c:pt>
                <c:pt idx="13">
                  <c:v>0.33103501211472541</c:v>
                </c:pt>
                <c:pt idx="14">
                  <c:v>0.33582043698388281</c:v>
                </c:pt>
                <c:pt idx="15">
                  <c:v>0.34088140481104534</c:v>
                </c:pt>
                <c:pt idx="16">
                  <c:v>0.34444049953339206</c:v>
                </c:pt>
                <c:pt idx="17">
                  <c:v>0.34778056410097186</c:v>
                </c:pt>
                <c:pt idx="18">
                  <c:v>0.3500995389628801</c:v>
                </c:pt>
                <c:pt idx="19">
                  <c:v>0.35466166691610529</c:v>
                </c:pt>
                <c:pt idx="20">
                  <c:v>0.35801815465109366</c:v>
                </c:pt>
                <c:pt idx="21">
                  <c:v>0.36134168404027395</c:v>
                </c:pt>
                <c:pt idx="22">
                  <c:v>0.3637003701367264</c:v>
                </c:pt>
                <c:pt idx="23">
                  <c:v>0.36819743333784483</c:v>
                </c:pt>
                <c:pt idx="24">
                  <c:v>0.3706192749372143</c:v>
                </c:pt>
                <c:pt idx="25">
                  <c:v>0.37504575772625592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33.039305303843605</c:v>
                </c:pt>
                <c:pt idx="1">
                  <c:v>34.189149003085035</c:v>
                </c:pt>
                <c:pt idx="2">
                  <c:v>35.184989148868588</c:v>
                </c:pt>
                <c:pt idx="3">
                  <c:v>34.562793579659036</c:v>
                </c:pt>
                <c:pt idx="4">
                  <c:v>36.447825021672372</c:v>
                </c:pt>
                <c:pt idx="5">
                  <c:v>34.223800198352485</c:v>
                </c:pt>
                <c:pt idx="6">
                  <c:v>33.259163684145626</c:v>
                </c:pt>
                <c:pt idx="7">
                  <c:v>33.681160277601087</c:v>
                </c:pt>
                <c:pt idx="8">
                  <c:v>32.137963975215577</c:v>
                </c:pt>
                <c:pt idx="9">
                  <c:v>30.736255514037811</c:v>
                </c:pt>
                <c:pt idx="10">
                  <c:v>30.25093913476638</c:v>
                </c:pt>
                <c:pt idx="11">
                  <c:v>29.489034465291272</c:v>
                </c:pt>
                <c:pt idx="12">
                  <c:v>29.40531029337653</c:v>
                </c:pt>
                <c:pt idx="13">
                  <c:v>29.361841694069234</c:v>
                </c:pt>
                <c:pt idx="14">
                  <c:v>29.329205994652618</c:v>
                </c:pt>
                <c:pt idx="15">
                  <c:v>29.213833101714457</c:v>
                </c:pt>
                <c:pt idx="16">
                  <c:v>29.072678331907959</c:v>
                </c:pt>
                <c:pt idx="17">
                  <c:v>28.916500607453717</c:v>
                </c:pt>
                <c:pt idx="18">
                  <c:v>28.761276427920073</c:v>
                </c:pt>
                <c:pt idx="19">
                  <c:v>28.605284093976394</c:v>
                </c:pt>
                <c:pt idx="20">
                  <c:v>28.450220185999903</c:v>
                </c:pt>
                <c:pt idx="21">
                  <c:v>28.348009535349256</c:v>
                </c:pt>
                <c:pt idx="22">
                  <c:v>28.236599049586736</c:v>
                </c:pt>
                <c:pt idx="23">
                  <c:v>28.118086392221503</c:v>
                </c:pt>
                <c:pt idx="24">
                  <c:v>27.979102179651765</c:v>
                </c:pt>
                <c:pt idx="25">
                  <c:v>27.813348952284226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8.3395096194587559</c:v>
                </c:pt>
                <c:pt idx="1">
                  <c:v>8.3125318052839425</c:v>
                </c:pt>
                <c:pt idx="2">
                  <c:v>8.5681483493012749</c:v>
                </c:pt>
                <c:pt idx="3">
                  <c:v>8.395984707624514</c:v>
                </c:pt>
                <c:pt idx="4">
                  <c:v>7.9688909618676904</c:v>
                </c:pt>
                <c:pt idx="5">
                  <c:v>9.0886906437377402</c:v>
                </c:pt>
                <c:pt idx="6">
                  <c:v>8.9232366047213176</c:v>
                </c:pt>
                <c:pt idx="7">
                  <c:v>9.8278451024031526</c:v>
                </c:pt>
                <c:pt idx="8">
                  <c:v>9.551928473973426</c:v>
                </c:pt>
                <c:pt idx="9">
                  <c:v>8.8480017178491579</c:v>
                </c:pt>
                <c:pt idx="10">
                  <c:v>9.088846806026746</c:v>
                </c:pt>
                <c:pt idx="11">
                  <c:v>9.6570431882925938</c:v>
                </c:pt>
                <c:pt idx="12">
                  <c:v>9.792643748489132</c:v>
                </c:pt>
                <c:pt idx="13">
                  <c:v>9.9167425379998182</c:v>
                </c:pt>
                <c:pt idx="14">
                  <c:v>10.047613464004355</c:v>
                </c:pt>
                <c:pt idx="15">
                  <c:v>10.158634946145103</c:v>
                </c:pt>
                <c:pt idx="16">
                  <c:v>10.260042756732146</c:v>
                </c:pt>
                <c:pt idx="17">
                  <c:v>10.363908112495128</c:v>
                </c:pt>
                <c:pt idx="18">
                  <c:v>10.474384463680645</c:v>
                </c:pt>
                <c:pt idx="19">
                  <c:v>10.587937204480779</c:v>
                </c:pt>
                <c:pt idx="20">
                  <c:v>10.704467004996365</c:v>
                </c:pt>
                <c:pt idx="21">
                  <c:v>10.814373994009941</c:v>
                </c:pt>
                <c:pt idx="22">
                  <c:v>10.922207287626129</c:v>
                </c:pt>
                <c:pt idx="23">
                  <c:v>11.036680750426164</c:v>
                </c:pt>
                <c:pt idx="24">
                  <c:v>11.150684097245206</c:v>
                </c:pt>
                <c:pt idx="25">
                  <c:v>11.267733851765355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22.556040057468323</c:v>
                </c:pt>
                <c:pt idx="1">
                  <c:v>21.419891198961672</c:v>
                </c:pt>
                <c:pt idx="2">
                  <c:v>21.667953124371614</c:v>
                </c:pt>
                <c:pt idx="3">
                  <c:v>22.57750804022017</c:v>
                </c:pt>
                <c:pt idx="4">
                  <c:v>23.080935372543745</c:v>
                </c:pt>
                <c:pt idx="5">
                  <c:v>23.01767694669358</c:v>
                </c:pt>
                <c:pt idx="6">
                  <c:v>21.877360281524926</c:v>
                </c:pt>
                <c:pt idx="7">
                  <c:v>22.023418013640295</c:v>
                </c:pt>
                <c:pt idx="8">
                  <c:v>22.659305985348212</c:v>
                </c:pt>
                <c:pt idx="9">
                  <c:v>21.737054143198129</c:v>
                </c:pt>
                <c:pt idx="10">
                  <c:v>18.382917992462492</c:v>
                </c:pt>
                <c:pt idx="11">
                  <c:v>19.559552072302932</c:v>
                </c:pt>
                <c:pt idx="12">
                  <c:v>19.398774453526308</c:v>
                </c:pt>
                <c:pt idx="13">
                  <c:v>19.246292744552036</c:v>
                </c:pt>
                <c:pt idx="14">
                  <c:v>19.147109959960545</c:v>
                </c:pt>
                <c:pt idx="15">
                  <c:v>18.988071519329377</c:v>
                </c:pt>
                <c:pt idx="16">
                  <c:v>18.868385278760655</c:v>
                </c:pt>
                <c:pt idx="17">
                  <c:v>18.739676010248846</c:v>
                </c:pt>
                <c:pt idx="18">
                  <c:v>18.601664119330756</c:v>
                </c:pt>
                <c:pt idx="19">
                  <c:v>18.44890236311058</c:v>
                </c:pt>
                <c:pt idx="20">
                  <c:v>18.30414557743045</c:v>
                </c:pt>
                <c:pt idx="21">
                  <c:v>18.152541136717932</c:v>
                </c:pt>
                <c:pt idx="22">
                  <c:v>18.013878744319442</c:v>
                </c:pt>
                <c:pt idx="23">
                  <c:v>17.868412596281225</c:v>
                </c:pt>
                <c:pt idx="24">
                  <c:v>17.697197779534473</c:v>
                </c:pt>
                <c:pt idx="25">
                  <c:v>17.514325366127888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20.417005623951216</c:v>
                </c:pt>
                <c:pt idx="1">
                  <c:v>19.438612700450893</c:v>
                </c:pt>
                <c:pt idx="2">
                  <c:v>21.935470487478948</c:v>
                </c:pt>
                <c:pt idx="3">
                  <c:v>19.71963783364766</c:v>
                </c:pt>
                <c:pt idx="4">
                  <c:v>21.32350457496058</c:v>
                </c:pt>
                <c:pt idx="5">
                  <c:v>24.123007113083549</c:v>
                </c:pt>
                <c:pt idx="6">
                  <c:v>23.881367629116085</c:v>
                </c:pt>
                <c:pt idx="7">
                  <c:v>23.087763648248085</c:v>
                </c:pt>
                <c:pt idx="8">
                  <c:v>23.963126578775782</c:v>
                </c:pt>
                <c:pt idx="9">
                  <c:v>24.835414702497779</c:v>
                </c:pt>
                <c:pt idx="10">
                  <c:v>21.975456313535553</c:v>
                </c:pt>
                <c:pt idx="11">
                  <c:v>22.593096623265204</c:v>
                </c:pt>
                <c:pt idx="12">
                  <c:v>22.587198955335431</c:v>
                </c:pt>
                <c:pt idx="13">
                  <c:v>22.630085690436871</c:v>
                </c:pt>
                <c:pt idx="14">
                  <c:v>22.702819619451699</c:v>
                </c:pt>
                <c:pt idx="15">
                  <c:v>22.740234056496391</c:v>
                </c:pt>
                <c:pt idx="16">
                  <c:v>22.751160644112346</c:v>
                </c:pt>
                <c:pt idx="17">
                  <c:v>22.751364493193641</c:v>
                </c:pt>
                <c:pt idx="18">
                  <c:v>22.74941088795148</c:v>
                </c:pt>
                <c:pt idx="19">
                  <c:v>22.743609045995921</c:v>
                </c:pt>
                <c:pt idx="20">
                  <c:v>22.746491744236565</c:v>
                </c:pt>
                <c:pt idx="21">
                  <c:v>22.737644064186092</c:v>
                </c:pt>
                <c:pt idx="22">
                  <c:v>22.729927757883896</c:v>
                </c:pt>
                <c:pt idx="23">
                  <c:v>22.718941135565149</c:v>
                </c:pt>
                <c:pt idx="24">
                  <c:v>22.704049722556011</c:v>
                </c:pt>
                <c:pt idx="25">
                  <c:v>22.68541236648149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9.9359847376257022</c:v>
                </c:pt>
                <c:pt idx="1">
                  <c:v>9.6203569958692263</c:v>
                </c:pt>
                <c:pt idx="2">
                  <c:v>9.7502072772979478</c:v>
                </c:pt>
                <c:pt idx="3">
                  <c:v>9.6280714033618509</c:v>
                </c:pt>
                <c:pt idx="4">
                  <c:v>10.441831648369302</c:v>
                </c:pt>
                <c:pt idx="5">
                  <c:v>11.487443580203085</c:v>
                </c:pt>
                <c:pt idx="6">
                  <c:v>11.160257153468608</c:v>
                </c:pt>
                <c:pt idx="7">
                  <c:v>10.041157722278529</c:v>
                </c:pt>
                <c:pt idx="8">
                  <c:v>10.375070492135515</c:v>
                </c:pt>
                <c:pt idx="9">
                  <c:v>9.8320405541299714</c:v>
                </c:pt>
                <c:pt idx="10">
                  <c:v>8.59789452449556</c:v>
                </c:pt>
                <c:pt idx="11">
                  <c:v>14.311464864783689</c:v>
                </c:pt>
                <c:pt idx="12">
                  <c:v>14.449651013489465</c:v>
                </c:pt>
                <c:pt idx="13">
                  <c:v>14.620743365617923</c:v>
                </c:pt>
                <c:pt idx="14">
                  <c:v>14.820370132033752</c:v>
                </c:pt>
                <c:pt idx="15">
                  <c:v>15.010512028853473</c:v>
                </c:pt>
                <c:pt idx="16">
                  <c:v>15.180486136732771</c:v>
                </c:pt>
                <c:pt idx="17">
                  <c:v>15.331664024007418</c:v>
                </c:pt>
                <c:pt idx="18">
                  <c:v>15.47222970714787</c:v>
                </c:pt>
                <c:pt idx="19">
                  <c:v>15.603464862428755</c:v>
                </c:pt>
                <c:pt idx="20">
                  <c:v>15.733475888513647</c:v>
                </c:pt>
                <c:pt idx="21">
                  <c:v>15.855152250746412</c:v>
                </c:pt>
                <c:pt idx="22">
                  <c:v>15.999263723713677</c:v>
                </c:pt>
                <c:pt idx="23">
                  <c:v>16.156340967408482</c:v>
                </c:pt>
                <c:pt idx="24">
                  <c:v>16.327213482031649</c:v>
                </c:pt>
                <c:pt idx="25">
                  <c:v>16.496787208058887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46.622255474480959</c:v>
                </c:pt>
                <c:pt idx="1">
                  <c:v>43.667444359899648</c:v>
                </c:pt>
                <c:pt idx="2">
                  <c:v>44.491692582093087</c:v>
                </c:pt>
                <c:pt idx="3">
                  <c:v>41.733842768792123</c:v>
                </c:pt>
                <c:pt idx="4">
                  <c:v>42.105791817742215</c:v>
                </c:pt>
                <c:pt idx="5">
                  <c:v>45.472494733851811</c:v>
                </c:pt>
                <c:pt idx="6">
                  <c:v>45.124821620365871</c:v>
                </c:pt>
                <c:pt idx="7">
                  <c:v>45.09817461403415</c:v>
                </c:pt>
                <c:pt idx="8">
                  <c:v>43.086616671143076</c:v>
                </c:pt>
                <c:pt idx="9">
                  <c:v>41.766910652938115</c:v>
                </c:pt>
                <c:pt idx="10">
                  <c:v>37.688938677596269</c:v>
                </c:pt>
                <c:pt idx="11">
                  <c:v>34.65507421061627</c:v>
                </c:pt>
                <c:pt idx="12">
                  <c:v>34.390397359717561</c:v>
                </c:pt>
                <c:pt idx="13">
                  <c:v>33.98499363077871</c:v>
                </c:pt>
                <c:pt idx="14">
                  <c:v>33.587299558125736</c:v>
                </c:pt>
                <c:pt idx="15">
                  <c:v>33.224143449787029</c:v>
                </c:pt>
                <c:pt idx="16">
                  <c:v>32.819756302483555</c:v>
                </c:pt>
                <c:pt idx="17">
                  <c:v>32.365055222918905</c:v>
                </c:pt>
                <c:pt idx="18">
                  <c:v>31.950145745807632</c:v>
                </c:pt>
                <c:pt idx="19">
                  <c:v>31.564345472285474</c:v>
                </c:pt>
                <c:pt idx="20">
                  <c:v>31.208721238350545</c:v>
                </c:pt>
                <c:pt idx="21">
                  <c:v>30.843252315007302</c:v>
                </c:pt>
                <c:pt idx="22">
                  <c:v>30.498161807946353</c:v>
                </c:pt>
                <c:pt idx="23">
                  <c:v>30.154731631867705</c:v>
                </c:pt>
                <c:pt idx="24">
                  <c:v>29.809162317025759</c:v>
                </c:pt>
                <c:pt idx="25">
                  <c:v>29.481164863279925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35.862180867533461</c:v>
                </c:pt>
                <c:pt idx="1">
                  <c:v>38.511174589502531</c:v>
                </c:pt>
                <c:pt idx="2">
                  <c:v>39.64259224433583</c:v>
                </c:pt>
                <c:pt idx="3">
                  <c:v>40.316415513863291</c:v>
                </c:pt>
                <c:pt idx="4">
                  <c:v>40.243872987208107</c:v>
                </c:pt>
                <c:pt idx="5">
                  <c:v>42.392720616000332</c:v>
                </c:pt>
                <c:pt idx="6">
                  <c:v>42.985464839465521</c:v>
                </c:pt>
                <c:pt idx="7">
                  <c:v>44.984427135591197</c:v>
                </c:pt>
                <c:pt idx="8">
                  <c:v>45.975161924547479</c:v>
                </c:pt>
                <c:pt idx="9">
                  <c:v>46.345148009577287</c:v>
                </c:pt>
                <c:pt idx="10">
                  <c:v>47.800367492375784</c:v>
                </c:pt>
                <c:pt idx="11">
                  <c:v>43.060535762133284</c:v>
                </c:pt>
                <c:pt idx="12">
                  <c:v>43.454015245303204</c:v>
                </c:pt>
                <c:pt idx="13">
                  <c:v>43.880784263827806</c:v>
                </c:pt>
                <c:pt idx="14">
                  <c:v>44.389079234129113</c:v>
                </c:pt>
                <c:pt idx="15">
                  <c:v>44.836824250943323</c:v>
                </c:pt>
                <c:pt idx="16">
                  <c:v>45.243249097567087</c:v>
                </c:pt>
                <c:pt idx="17">
                  <c:v>45.641551239195167</c:v>
                </c:pt>
                <c:pt idx="18">
                  <c:v>46.052615855161022</c:v>
                </c:pt>
                <c:pt idx="19">
                  <c:v>46.472351672888863</c:v>
                </c:pt>
                <c:pt idx="20">
                  <c:v>46.923273602695382</c:v>
                </c:pt>
                <c:pt idx="21">
                  <c:v>47.364506275000423</c:v>
                </c:pt>
                <c:pt idx="22">
                  <c:v>47.808224500789919</c:v>
                </c:pt>
                <c:pt idx="23">
                  <c:v>48.264954800681885</c:v>
                </c:pt>
                <c:pt idx="24">
                  <c:v>48.738490857078631</c:v>
                </c:pt>
                <c:pt idx="25">
                  <c:v>49.226179286534204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86.206821442855571</c:v>
                </c:pt>
                <c:pt idx="1">
                  <c:v>85.731316551172029</c:v>
                </c:pt>
                <c:pt idx="2">
                  <c:v>84.571828003452111</c:v>
                </c:pt>
                <c:pt idx="3">
                  <c:v>86.321165784949471</c:v>
                </c:pt>
                <c:pt idx="4">
                  <c:v>87.165939561521355</c:v>
                </c:pt>
                <c:pt idx="5">
                  <c:v>87.713907644760383</c:v>
                </c:pt>
                <c:pt idx="6">
                  <c:v>92.887078996026617</c:v>
                </c:pt>
                <c:pt idx="7">
                  <c:v>93.43879519461521</c:v>
                </c:pt>
                <c:pt idx="8">
                  <c:v>96.075621748911246</c:v>
                </c:pt>
                <c:pt idx="9">
                  <c:v>99.060176549524812</c:v>
                </c:pt>
                <c:pt idx="10">
                  <c:v>103.54383323968845</c:v>
                </c:pt>
                <c:pt idx="11">
                  <c:v>104.99516752620241</c:v>
                </c:pt>
                <c:pt idx="12">
                  <c:v>106.00365646184794</c:v>
                </c:pt>
                <c:pt idx="13">
                  <c:v>107.24803069004871</c:v>
                </c:pt>
                <c:pt idx="14">
                  <c:v>108.70617423210903</c:v>
                </c:pt>
                <c:pt idx="15">
                  <c:v>109.96238805392818</c:v>
                </c:pt>
                <c:pt idx="16">
                  <c:v>111.1484554981422</c:v>
                </c:pt>
                <c:pt idx="17">
                  <c:v>112.31089713171626</c:v>
                </c:pt>
                <c:pt idx="18">
                  <c:v>113.43589562579079</c:v>
                </c:pt>
                <c:pt idx="19">
                  <c:v>114.57329559762601</c:v>
                </c:pt>
                <c:pt idx="20">
                  <c:v>115.77397136993768</c:v>
                </c:pt>
                <c:pt idx="21">
                  <c:v>116.97986811251998</c:v>
                </c:pt>
                <c:pt idx="22">
                  <c:v>118.16663666353965</c:v>
                </c:pt>
                <c:pt idx="23">
                  <c:v>119.36661533226028</c:v>
                </c:pt>
                <c:pt idx="24">
                  <c:v>120.57211980846094</c:v>
                </c:pt>
                <c:pt idx="25">
                  <c:v>121.73921749855063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53.373040106788551</c:v>
                </c:pt>
                <c:pt idx="1">
                  <c:v>53.085699220941578</c:v>
                </c:pt>
                <c:pt idx="2">
                  <c:v>54.517980862841341</c:v>
                </c:pt>
                <c:pt idx="3">
                  <c:v>54.016251400602997</c:v>
                </c:pt>
                <c:pt idx="4">
                  <c:v>54.773115656466345</c:v>
                </c:pt>
                <c:pt idx="5">
                  <c:v>56.127385363836439</c:v>
                </c:pt>
                <c:pt idx="6">
                  <c:v>56.929880454626009</c:v>
                </c:pt>
                <c:pt idx="7">
                  <c:v>59.145991111724456</c:v>
                </c:pt>
                <c:pt idx="8">
                  <c:v>58.733511687785942</c:v>
                </c:pt>
                <c:pt idx="9">
                  <c:v>58.716382031893609</c:v>
                </c:pt>
                <c:pt idx="10">
                  <c:v>60.815602010650593</c:v>
                </c:pt>
                <c:pt idx="11">
                  <c:v>62.591725584243491</c:v>
                </c:pt>
                <c:pt idx="12">
                  <c:v>63.042523368051235</c:v>
                </c:pt>
                <c:pt idx="13">
                  <c:v>63.670397736706633</c:v>
                </c:pt>
                <c:pt idx="14">
                  <c:v>64.479735894815377</c:v>
                </c:pt>
                <c:pt idx="15">
                  <c:v>65.159050767565844</c:v>
                </c:pt>
                <c:pt idx="16">
                  <c:v>65.772525163454162</c:v>
                </c:pt>
                <c:pt idx="17">
                  <c:v>66.363964798377609</c:v>
                </c:pt>
                <c:pt idx="18">
                  <c:v>66.980351518458008</c:v>
                </c:pt>
                <c:pt idx="19">
                  <c:v>67.604287905090175</c:v>
                </c:pt>
                <c:pt idx="20">
                  <c:v>68.245715388476015</c:v>
                </c:pt>
                <c:pt idx="21">
                  <c:v>68.871488840188093</c:v>
                </c:pt>
                <c:pt idx="22">
                  <c:v>69.49163677829128</c:v>
                </c:pt>
                <c:pt idx="23">
                  <c:v>70.160948181429546</c:v>
                </c:pt>
                <c:pt idx="24">
                  <c:v>70.8278570291086</c:v>
                </c:pt>
                <c:pt idx="25">
                  <c:v>71.509944652399085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57.839044153626922</c:v>
                </c:pt>
                <c:pt idx="1">
                  <c:v>57.908265786389578</c:v>
                </c:pt>
                <c:pt idx="2">
                  <c:v>58.656731622355053</c:v>
                </c:pt>
                <c:pt idx="3">
                  <c:v>56.430568954100771</c:v>
                </c:pt>
                <c:pt idx="4">
                  <c:v>57.452543673448133</c:v>
                </c:pt>
                <c:pt idx="5">
                  <c:v>60.137952735863799</c:v>
                </c:pt>
                <c:pt idx="6">
                  <c:v>57.612393248091713</c:v>
                </c:pt>
                <c:pt idx="7">
                  <c:v>60.105228409853098</c:v>
                </c:pt>
                <c:pt idx="8">
                  <c:v>58.395454884826378</c:v>
                </c:pt>
                <c:pt idx="9">
                  <c:v>54.660014915246499</c:v>
                </c:pt>
                <c:pt idx="10">
                  <c:v>56.47840028321459</c:v>
                </c:pt>
                <c:pt idx="11">
                  <c:v>57.744021619335498</c:v>
                </c:pt>
                <c:pt idx="12">
                  <c:v>57.731774318485094</c:v>
                </c:pt>
                <c:pt idx="13">
                  <c:v>57.668909636307632</c:v>
                </c:pt>
                <c:pt idx="14">
                  <c:v>57.657638665145029</c:v>
                </c:pt>
                <c:pt idx="15">
                  <c:v>57.502694930725809</c:v>
                </c:pt>
                <c:pt idx="16">
                  <c:v>57.20691059603655</c:v>
                </c:pt>
                <c:pt idx="17">
                  <c:v>56.86982049748616</c:v>
                </c:pt>
                <c:pt idx="18">
                  <c:v>56.482319653123184</c:v>
                </c:pt>
                <c:pt idx="19">
                  <c:v>56.078956023378588</c:v>
                </c:pt>
                <c:pt idx="20">
                  <c:v>55.701650999803462</c:v>
                </c:pt>
                <c:pt idx="21">
                  <c:v>55.292920723479483</c:v>
                </c:pt>
                <c:pt idx="22">
                  <c:v>54.87887406699199</c:v>
                </c:pt>
                <c:pt idx="23">
                  <c:v>54.391678584397226</c:v>
                </c:pt>
                <c:pt idx="24">
                  <c:v>53.927573304210426</c:v>
                </c:pt>
                <c:pt idx="25">
                  <c:v>53.527270896017249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62.283260145895561</c:v>
                </c:pt>
                <c:pt idx="1">
                  <c:v>59.671523214064258</c:v>
                </c:pt>
                <c:pt idx="2">
                  <c:v>59.696882766051296</c:v>
                </c:pt>
                <c:pt idx="3">
                  <c:v>58.625360838856089</c:v>
                </c:pt>
                <c:pt idx="4">
                  <c:v>58.532682149842074</c:v>
                </c:pt>
                <c:pt idx="5">
                  <c:v>61.298727794930358</c:v>
                </c:pt>
                <c:pt idx="6">
                  <c:v>55.383601143806693</c:v>
                </c:pt>
                <c:pt idx="7">
                  <c:v>56.415552069732712</c:v>
                </c:pt>
                <c:pt idx="8">
                  <c:v>59.120344981239569</c:v>
                </c:pt>
                <c:pt idx="9">
                  <c:v>61.93589069766864</c:v>
                </c:pt>
                <c:pt idx="10">
                  <c:v>52.232847099052961</c:v>
                </c:pt>
                <c:pt idx="11">
                  <c:v>52.874880207493064</c:v>
                </c:pt>
                <c:pt idx="12">
                  <c:v>52.369211222704322</c:v>
                </c:pt>
                <c:pt idx="13">
                  <c:v>51.82981014845592</c:v>
                </c:pt>
                <c:pt idx="14">
                  <c:v>51.444982855371229</c:v>
                </c:pt>
                <c:pt idx="15">
                  <c:v>51.034079797086527</c:v>
                </c:pt>
                <c:pt idx="16">
                  <c:v>50.583943161947602</c:v>
                </c:pt>
                <c:pt idx="17">
                  <c:v>50.116238067259005</c:v>
                </c:pt>
                <c:pt idx="18">
                  <c:v>49.670859220631577</c:v>
                </c:pt>
                <c:pt idx="19">
                  <c:v>49.221168145506887</c:v>
                </c:pt>
                <c:pt idx="20">
                  <c:v>48.798509243889789</c:v>
                </c:pt>
                <c:pt idx="21">
                  <c:v>48.375355882941307</c:v>
                </c:pt>
                <c:pt idx="22">
                  <c:v>47.968230270654281</c:v>
                </c:pt>
                <c:pt idx="23">
                  <c:v>47.567652846022774</c:v>
                </c:pt>
                <c:pt idx="24">
                  <c:v>47.163909834682386</c:v>
                </c:pt>
                <c:pt idx="25">
                  <c:v>46.762923727753545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49.64955246647142</c:v>
                </c:pt>
                <c:pt idx="1">
                  <c:v>48.53703457437981</c:v>
                </c:pt>
                <c:pt idx="2">
                  <c:v>48.503523531552936</c:v>
                </c:pt>
                <c:pt idx="3">
                  <c:v>48.320399174321778</c:v>
                </c:pt>
                <c:pt idx="4">
                  <c:v>49.428066574357992</c:v>
                </c:pt>
                <c:pt idx="5">
                  <c:v>50.478192628686543</c:v>
                </c:pt>
                <c:pt idx="6">
                  <c:v>53.914374344641075</c:v>
                </c:pt>
                <c:pt idx="7">
                  <c:v>54.303486700278015</c:v>
                </c:pt>
                <c:pt idx="8">
                  <c:v>50.660892596097909</c:v>
                </c:pt>
                <c:pt idx="9">
                  <c:v>51.457710511437895</c:v>
                </c:pt>
                <c:pt idx="10">
                  <c:v>49.337956426134348</c:v>
                </c:pt>
                <c:pt idx="11">
                  <c:v>48.583403876039974</c:v>
                </c:pt>
                <c:pt idx="12">
                  <c:v>48.95384355967343</c:v>
                </c:pt>
                <c:pt idx="13">
                  <c:v>49.390367861198946</c:v>
                </c:pt>
                <c:pt idx="14">
                  <c:v>49.893970390201488</c:v>
                </c:pt>
                <c:pt idx="15">
                  <c:v>50.297533097424598</c:v>
                </c:pt>
                <c:pt idx="16">
                  <c:v>50.657407032122521</c:v>
                </c:pt>
                <c:pt idx="17">
                  <c:v>51.004359795648099</c:v>
                </c:pt>
                <c:pt idx="18">
                  <c:v>51.366846774996731</c:v>
                </c:pt>
                <c:pt idx="19">
                  <c:v>51.718397613232021</c:v>
                </c:pt>
                <c:pt idx="20">
                  <c:v>52.065357755670263</c:v>
                </c:pt>
                <c:pt idx="21">
                  <c:v>52.427886869853864</c:v>
                </c:pt>
                <c:pt idx="22">
                  <c:v>52.783359348656766</c:v>
                </c:pt>
                <c:pt idx="23">
                  <c:v>53.161956781437631</c:v>
                </c:pt>
                <c:pt idx="24">
                  <c:v>53.544639588414213</c:v>
                </c:pt>
                <c:pt idx="25">
                  <c:v>53.919691330747085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41.378814923302357</c:v>
                </c:pt>
                <c:pt idx="1">
                  <c:v>42.501680808368974</c:v>
                </c:pt>
                <c:pt idx="2">
                  <c:v>43.753137498169863</c:v>
                </c:pt>
                <c:pt idx="3">
                  <c:v>42.95877828728355</c:v>
                </c:pt>
                <c:pt idx="4">
                  <c:v>44.416715983540065</c:v>
                </c:pt>
                <c:pt idx="5">
                  <c:v>43.312490842090227</c:v>
                </c:pt>
                <c:pt idx="6">
                  <c:v>42.182400288866944</c:v>
                </c:pt>
                <c:pt idx="7">
                  <c:v>43.50900538000424</c:v>
                </c:pt>
                <c:pt idx="8">
                  <c:v>41.689892449189003</c:v>
                </c:pt>
                <c:pt idx="9">
                  <c:v>39.584257231886966</c:v>
                </c:pt>
                <c:pt idx="10">
                  <c:v>39.339785940793128</c:v>
                </c:pt>
                <c:pt idx="11">
                  <c:v>39.146077653583866</c:v>
                </c:pt>
                <c:pt idx="12">
                  <c:v>39.197954041865664</c:v>
                </c:pt>
                <c:pt idx="13">
                  <c:v>39.278584232069051</c:v>
                </c:pt>
                <c:pt idx="14">
                  <c:v>39.376819458656975</c:v>
                </c:pt>
                <c:pt idx="15">
                  <c:v>39.372468047859556</c:v>
                </c:pt>
                <c:pt idx="16">
                  <c:v>39.332721088640106</c:v>
                </c:pt>
                <c:pt idx="17">
                  <c:v>39.280408719948845</c:v>
                </c:pt>
                <c:pt idx="18">
                  <c:v>39.235660891600716</c:v>
                </c:pt>
                <c:pt idx="19">
                  <c:v>39.193221298457175</c:v>
                </c:pt>
                <c:pt idx="20">
                  <c:v>39.15468719099627</c:v>
                </c:pt>
                <c:pt idx="21">
                  <c:v>39.162383529359197</c:v>
                </c:pt>
                <c:pt idx="22">
                  <c:v>39.158806337212866</c:v>
                </c:pt>
                <c:pt idx="23">
                  <c:v>39.154767142647671</c:v>
                </c:pt>
                <c:pt idx="24">
                  <c:v>39.129786276896972</c:v>
                </c:pt>
                <c:pt idx="25">
                  <c:v>39.081082804049579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42.973045681419535</c:v>
                </c:pt>
                <c:pt idx="1">
                  <c:v>40.858503899412568</c:v>
                </c:pt>
                <c:pt idx="2">
                  <c:v>43.603423611850559</c:v>
                </c:pt>
                <c:pt idx="3">
                  <c:v>42.297145873867834</c:v>
                </c:pt>
                <c:pt idx="4">
                  <c:v>44.404439947504329</c:v>
                </c:pt>
                <c:pt idx="5">
                  <c:v>47.140684059777129</c:v>
                </c:pt>
                <c:pt idx="6">
                  <c:v>45.758727910641014</c:v>
                </c:pt>
                <c:pt idx="7">
                  <c:v>45.111181661888381</c:v>
                </c:pt>
                <c:pt idx="8">
                  <c:v>46.622432564123997</c:v>
                </c:pt>
                <c:pt idx="9">
                  <c:v>46.572468845695909</c:v>
                </c:pt>
                <c:pt idx="10">
                  <c:v>40.358374305998041</c:v>
                </c:pt>
                <c:pt idx="11">
                  <c:v>42.152648695568132</c:v>
                </c:pt>
                <c:pt idx="12">
                  <c:v>41.985973408861739</c:v>
                </c:pt>
                <c:pt idx="13">
                  <c:v>41.876378434988908</c:v>
                </c:pt>
                <c:pt idx="14">
                  <c:v>41.849929579412247</c:v>
                </c:pt>
                <c:pt idx="15">
                  <c:v>41.728305575825772</c:v>
                </c:pt>
                <c:pt idx="16">
                  <c:v>41.619545922873002</c:v>
                </c:pt>
                <c:pt idx="17">
                  <c:v>41.491040503442491</c:v>
                </c:pt>
                <c:pt idx="18">
                  <c:v>41.351075007282233</c:v>
                </c:pt>
                <c:pt idx="19">
                  <c:v>41.192511409106501</c:v>
                </c:pt>
                <c:pt idx="20">
                  <c:v>41.050637321667011</c:v>
                </c:pt>
                <c:pt idx="21">
                  <c:v>40.890185200904028</c:v>
                </c:pt>
                <c:pt idx="22">
                  <c:v>40.743806502203341</c:v>
                </c:pt>
                <c:pt idx="23">
                  <c:v>40.587353731846378</c:v>
                </c:pt>
                <c:pt idx="24">
                  <c:v>40.401247502090484</c:v>
                </c:pt>
                <c:pt idx="25">
                  <c:v>40.199737732609378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56.558240212106661</c:v>
                </c:pt>
                <c:pt idx="1">
                  <c:v>53.287801355768877</c:v>
                </c:pt>
                <c:pt idx="2">
                  <c:v>54.241899859391033</c:v>
                </c:pt>
                <c:pt idx="3">
                  <c:v>51.361914172153973</c:v>
                </c:pt>
                <c:pt idx="4">
                  <c:v>52.547623466111517</c:v>
                </c:pt>
                <c:pt idx="5">
                  <c:v>56.959938314054895</c:v>
                </c:pt>
                <c:pt idx="6">
                  <c:v>56.285078773834478</c:v>
                </c:pt>
                <c:pt idx="7">
                  <c:v>55.139332336312677</c:v>
                </c:pt>
                <c:pt idx="8">
                  <c:v>53.46168716327859</c:v>
                </c:pt>
                <c:pt idx="9">
                  <c:v>51.598951207068083</c:v>
                </c:pt>
                <c:pt idx="10">
                  <c:v>46.286833202091827</c:v>
                </c:pt>
                <c:pt idx="11">
                  <c:v>48.966539075399957</c:v>
                </c:pt>
                <c:pt idx="12">
                  <c:v>48.840048373207026</c:v>
                </c:pt>
                <c:pt idx="13">
                  <c:v>48.605736996396629</c:v>
                </c:pt>
                <c:pt idx="14">
                  <c:v>48.407669690159487</c:v>
                </c:pt>
                <c:pt idx="15">
                  <c:v>48.234655478640505</c:v>
                </c:pt>
                <c:pt idx="16">
                  <c:v>48.000242439216322</c:v>
                </c:pt>
                <c:pt idx="17">
                  <c:v>47.696719246926321</c:v>
                </c:pt>
                <c:pt idx="18">
                  <c:v>47.422375452955499</c:v>
                </c:pt>
                <c:pt idx="19">
                  <c:v>47.167810334714233</c:v>
                </c:pt>
                <c:pt idx="20">
                  <c:v>46.942197126864194</c:v>
                </c:pt>
                <c:pt idx="21">
                  <c:v>46.698404565753712</c:v>
                </c:pt>
                <c:pt idx="22">
                  <c:v>46.497425531660028</c:v>
                </c:pt>
                <c:pt idx="23">
                  <c:v>46.311072599276187</c:v>
                </c:pt>
                <c:pt idx="24">
                  <c:v>46.136375799057404</c:v>
                </c:pt>
                <c:pt idx="25">
                  <c:v>45.977952071338812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35.862180867533461</c:v>
                </c:pt>
                <c:pt idx="1">
                  <c:v>38.511174589502531</c:v>
                </c:pt>
                <c:pt idx="2">
                  <c:v>39.64259224433583</c:v>
                </c:pt>
                <c:pt idx="3">
                  <c:v>40.316415513863291</c:v>
                </c:pt>
                <c:pt idx="4">
                  <c:v>40.243872987208107</c:v>
                </c:pt>
                <c:pt idx="5">
                  <c:v>42.392720616000332</c:v>
                </c:pt>
                <c:pt idx="6">
                  <c:v>42.985464839465521</c:v>
                </c:pt>
                <c:pt idx="7">
                  <c:v>44.984427135591197</c:v>
                </c:pt>
                <c:pt idx="8">
                  <c:v>45.975161924547479</c:v>
                </c:pt>
                <c:pt idx="9">
                  <c:v>46.345148009577287</c:v>
                </c:pt>
                <c:pt idx="10">
                  <c:v>47.800367492375784</c:v>
                </c:pt>
                <c:pt idx="11">
                  <c:v>43.060535762133284</c:v>
                </c:pt>
                <c:pt idx="12">
                  <c:v>43.454015245303204</c:v>
                </c:pt>
                <c:pt idx="13">
                  <c:v>43.880784263827806</c:v>
                </c:pt>
                <c:pt idx="14">
                  <c:v>44.389079234129113</c:v>
                </c:pt>
                <c:pt idx="15">
                  <c:v>44.836824250943323</c:v>
                </c:pt>
                <c:pt idx="16">
                  <c:v>45.243249097567087</c:v>
                </c:pt>
                <c:pt idx="17">
                  <c:v>45.641551239195167</c:v>
                </c:pt>
                <c:pt idx="18">
                  <c:v>46.052615855161022</c:v>
                </c:pt>
                <c:pt idx="19">
                  <c:v>46.472351672888863</c:v>
                </c:pt>
                <c:pt idx="20">
                  <c:v>46.923273602695382</c:v>
                </c:pt>
                <c:pt idx="21">
                  <c:v>47.364506275000423</c:v>
                </c:pt>
                <c:pt idx="22">
                  <c:v>47.808224500789919</c:v>
                </c:pt>
                <c:pt idx="23">
                  <c:v>48.264954800681885</c:v>
                </c:pt>
                <c:pt idx="24">
                  <c:v>48.738490857078631</c:v>
                </c:pt>
                <c:pt idx="25">
                  <c:v>49.226179286534204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86.206821442855571</c:v>
                </c:pt>
                <c:pt idx="1">
                  <c:v>85.731316551172029</c:v>
                </c:pt>
                <c:pt idx="2">
                  <c:v>84.571828003452111</c:v>
                </c:pt>
                <c:pt idx="3">
                  <c:v>86.321165784949471</c:v>
                </c:pt>
                <c:pt idx="4">
                  <c:v>87.165939561521355</c:v>
                </c:pt>
                <c:pt idx="5">
                  <c:v>87.713907644760383</c:v>
                </c:pt>
                <c:pt idx="6">
                  <c:v>92.887078996026617</c:v>
                </c:pt>
                <c:pt idx="7">
                  <c:v>93.43879519461521</c:v>
                </c:pt>
                <c:pt idx="8">
                  <c:v>96.075621748911246</c:v>
                </c:pt>
                <c:pt idx="9">
                  <c:v>99.060176549524812</c:v>
                </c:pt>
                <c:pt idx="10">
                  <c:v>103.54383323968845</c:v>
                </c:pt>
                <c:pt idx="11">
                  <c:v>104.99516752620241</c:v>
                </c:pt>
                <c:pt idx="12">
                  <c:v>106.00365646184794</c:v>
                </c:pt>
                <c:pt idx="13">
                  <c:v>107.24803069004871</c:v>
                </c:pt>
                <c:pt idx="14">
                  <c:v>108.70617423210903</c:v>
                </c:pt>
                <c:pt idx="15">
                  <c:v>109.96238805392818</c:v>
                </c:pt>
                <c:pt idx="16">
                  <c:v>111.1484554981422</c:v>
                </c:pt>
                <c:pt idx="17">
                  <c:v>112.31089713171626</c:v>
                </c:pt>
                <c:pt idx="18">
                  <c:v>113.43589562579079</c:v>
                </c:pt>
                <c:pt idx="19">
                  <c:v>114.57329559762601</c:v>
                </c:pt>
                <c:pt idx="20">
                  <c:v>115.77397136993768</c:v>
                </c:pt>
                <c:pt idx="21">
                  <c:v>116.97986811251998</c:v>
                </c:pt>
                <c:pt idx="22">
                  <c:v>118.16663666353965</c:v>
                </c:pt>
                <c:pt idx="23">
                  <c:v>119.36661533226028</c:v>
                </c:pt>
                <c:pt idx="24">
                  <c:v>120.57211980846094</c:v>
                </c:pt>
                <c:pt idx="25">
                  <c:v>121.73921749855063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53.373040106788551</c:v>
                </c:pt>
                <c:pt idx="1">
                  <c:v>53.085699220941578</c:v>
                </c:pt>
                <c:pt idx="2">
                  <c:v>54.517980862841341</c:v>
                </c:pt>
                <c:pt idx="3">
                  <c:v>54.016251400602997</c:v>
                </c:pt>
                <c:pt idx="4">
                  <c:v>54.773115656466345</c:v>
                </c:pt>
                <c:pt idx="5">
                  <c:v>56.127385363836439</c:v>
                </c:pt>
                <c:pt idx="6">
                  <c:v>56.929880454626009</c:v>
                </c:pt>
                <c:pt idx="7">
                  <c:v>59.145991111724456</c:v>
                </c:pt>
                <c:pt idx="8">
                  <c:v>58.733511687785942</c:v>
                </c:pt>
                <c:pt idx="9">
                  <c:v>58.716382031893609</c:v>
                </c:pt>
                <c:pt idx="10">
                  <c:v>60.815602010650593</c:v>
                </c:pt>
                <c:pt idx="11">
                  <c:v>62.591725584243491</c:v>
                </c:pt>
                <c:pt idx="12">
                  <c:v>63.042523368051235</c:v>
                </c:pt>
                <c:pt idx="13">
                  <c:v>63.670397736706633</c:v>
                </c:pt>
                <c:pt idx="14">
                  <c:v>64.479735894815377</c:v>
                </c:pt>
                <c:pt idx="15">
                  <c:v>65.159050767565844</c:v>
                </c:pt>
                <c:pt idx="16">
                  <c:v>65.772525163454162</c:v>
                </c:pt>
                <c:pt idx="17">
                  <c:v>66.363964798377609</c:v>
                </c:pt>
                <c:pt idx="18">
                  <c:v>66.980351518458008</c:v>
                </c:pt>
                <c:pt idx="19">
                  <c:v>67.604287905090175</c:v>
                </c:pt>
                <c:pt idx="20">
                  <c:v>68.245715388476015</c:v>
                </c:pt>
                <c:pt idx="21">
                  <c:v>68.871488840188093</c:v>
                </c:pt>
                <c:pt idx="22">
                  <c:v>69.49163677829128</c:v>
                </c:pt>
                <c:pt idx="23">
                  <c:v>70.160948181429546</c:v>
                </c:pt>
                <c:pt idx="24">
                  <c:v>70.8278570291086</c:v>
                </c:pt>
                <c:pt idx="25">
                  <c:v>71.509944652399085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57.839044153626922</c:v>
                </c:pt>
                <c:pt idx="1">
                  <c:v>57.908265786389578</c:v>
                </c:pt>
                <c:pt idx="2">
                  <c:v>58.656731622355053</c:v>
                </c:pt>
                <c:pt idx="3">
                  <c:v>56.430568954100771</c:v>
                </c:pt>
                <c:pt idx="4">
                  <c:v>57.452543673448133</c:v>
                </c:pt>
                <c:pt idx="5">
                  <c:v>60.137952735863799</c:v>
                </c:pt>
                <c:pt idx="6">
                  <c:v>57.612393248091713</c:v>
                </c:pt>
                <c:pt idx="7">
                  <c:v>60.105228409853098</c:v>
                </c:pt>
                <c:pt idx="8">
                  <c:v>58.395454884826378</c:v>
                </c:pt>
                <c:pt idx="9">
                  <c:v>54.660014915246499</c:v>
                </c:pt>
                <c:pt idx="10">
                  <c:v>56.47840028321459</c:v>
                </c:pt>
                <c:pt idx="11">
                  <c:v>57.744021619335498</c:v>
                </c:pt>
                <c:pt idx="12">
                  <c:v>57.731774318485094</c:v>
                </c:pt>
                <c:pt idx="13">
                  <c:v>57.668909636307632</c:v>
                </c:pt>
                <c:pt idx="14">
                  <c:v>57.657638665145029</c:v>
                </c:pt>
                <c:pt idx="15">
                  <c:v>57.502694930725809</c:v>
                </c:pt>
                <c:pt idx="16">
                  <c:v>57.20691059603655</c:v>
                </c:pt>
                <c:pt idx="17">
                  <c:v>56.86982049748616</c:v>
                </c:pt>
                <c:pt idx="18">
                  <c:v>56.482319653123184</c:v>
                </c:pt>
                <c:pt idx="19">
                  <c:v>56.078956023378588</c:v>
                </c:pt>
                <c:pt idx="20">
                  <c:v>55.701650999803462</c:v>
                </c:pt>
                <c:pt idx="21">
                  <c:v>55.292920723479483</c:v>
                </c:pt>
                <c:pt idx="22">
                  <c:v>54.87887406699199</c:v>
                </c:pt>
                <c:pt idx="23">
                  <c:v>54.391678584397226</c:v>
                </c:pt>
                <c:pt idx="24">
                  <c:v>53.927573304210426</c:v>
                </c:pt>
                <c:pt idx="25">
                  <c:v>53.527270896017249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62.283260145895561</c:v>
                </c:pt>
                <c:pt idx="1">
                  <c:v>59.671523214064258</c:v>
                </c:pt>
                <c:pt idx="2">
                  <c:v>59.696882766051296</c:v>
                </c:pt>
                <c:pt idx="3">
                  <c:v>58.625360838856089</c:v>
                </c:pt>
                <c:pt idx="4">
                  <c:v>58.532682149842074</c:v>
                </c:pt>
                <c:pt idx="5">
                  <c:v>61.298727794930358</c:v>
                </c:pt>
                <c:pt idx="6">
                  <c:v>55.383601143806693</c:v>
                </c:pt>
                <c:pt idx="7">
                  <c:v>56.415552069732712</c:v>
                </c:pt>
                <c:pt idx="8">
                  <c:v>59.120344981239569</c:v>
                </c:pt>
                <c:pt idx="9">
                  <c:v>61.93589069766864</c:v>
                </c:pt>
                <c:pt idx="10">
                  <c:v>52.232847099052961</c:v>
                </c:pt>
                <c:pt idx="11">
                  <c:v>52.874880207493064</c:v>
                </c:pt>
                <c:pt idx="12">
                  <c:v>52.369211222704322</c:v>
                </c:pt>
                <c:pt idx="13">
                  <c:v>51.82981014845592</c:v>
                </c:pt>
                <c:pt idx="14">
                  <c:v>51.444982855371229</c:v>
                </c:pt>
                <c:pt idx="15">
                  <c:v>51.034079797086527</c:v>
                </c:pt>
                <c:pt idx="16">
                  <c:v>50.583943161947602</c:v>
                </c:pt>
                <c:pt idx="17">
                  <c:v>50.116238067259005</c:v>
                </c:pt>
                <c:pt idx="18">
                  <c:v>49.670859220631577</c:v>
                </c:pt>
                <c:pt idx="19">
                  <c:v>49.221168145506887</c:v>
                </c:pt>
                <c:pt idx="20">
                  <c:v>48.798509243889789</c:v>
                </c:pt>
                <c:pt idx="21">
                  <c:v>48.375355882941307</c:v>
                </c:pt>
                <c:pt idx="22">
                  <c:v>47.968230270654281</c:v>
                </c:pt>
                <c:pt idx="23">
                  <c:v>47.567652846022774</c:v>
                </c:pt>
                <c:pt idx="24">
                  <c:v>47.163909834682386</c:v>
                </c:pt>
                <c:pt idx="25">
                  <c:v>46.762923727753545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49.64955246647142</c:v>
                </c:pt>
                <c:pt idx="1">
                  <c:v>48.53703457437981</c:v>
                </c:pt>
                <c:pt idx="2">
                  <c:v>48.503523531552936</c:v>
                </c:pt>
                <c:pt idx="3">
                  <c:v>48.320399174321778</c:v>
                </c:pt>
                <c:pt idx="4">
                  <c:v>49.428066574357992</c:v>
                </c:pt>
                <c:pt idx="5">
                  <c:v>50.478192628686543</c:v>
                </c:pt>
                <c:pt idx="6">
                  <c:v>53.914374344641075</c:v>
                </c:pt>
                <c:pt idx="7">
                  <c:v>54.303486700278015</c:v>
                </c:pt>
                <c:pt idx="8">
                  <c:v>50.660892596097909</c:v>
                </c:pt>
                <c:pt idx="9">
                  <c:v>51.457710511437895</c:v>
                </c:pt>
                <c:pt idx="10">
                  <c:v>49.337956426134348</c:v>
                </c:pt>
                <c:pt idx="11">
                  <c:v>48.583403876039974</c:v>
                </c:pt>
                <c:pt idx="12">
                  <c:v>48.95384355967343</c:v>
                </c:pt>
                <c:pt idx="13">
                  <c:v>49.390367861198946</c:v>
                </c:pt>
                <c:pt idx="14">
                  <c:v>49.893970390201488</c:v>
                </c:pt>
                <c:pt idx="15">
                  <c:v>50.297533097424598</c:v>
                </c:pt>
                <c:pt idx="16">
                  <c:v>50.657407032122521</c:v>
                </c:pt>
                <c:pt idx="17">
                  <c:v>51.004359795648099</c:v>
                </c:pt>
                <c:pt idx="18">
                  <c:v>51.366846774996731</c:v>
                </c:pt>
                <c:pt idx="19">
                  <c:v>51.718397613232021</c:v>
                </c:pt>
                <c:pt idx="20">
                  <c:v>52.065357755670263</c:v>
                </c:pt>
                <c:pt idx="21">
                  <c:v>52.427886869853864</c:v>
                </c:pt>
                <c:pt idx="22">
                  <c:v>52.783359348656766</c:v>
                </c:pt>
                <c:pt idx="23">
                  <c:v>53.161956781437631</c:v>
                </c:pt>
                <c:pt idx="24">
                  <c:v>53.544639588414213</c:v>
                </c:pt>
                <c:pt idx="25">
                  <c:v>53.919691330747085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41.378814923302357</c:v>
                </c:pt>
                <c:pt idx="1">
                  <c:v>42.501680808368974</c:v>
                </c:pt>
                <c:pt idx="2">
                  <c:v>43.753137498169863</c:v>
                </c:pt>
                <c:pt idx="3">
                  <c:v>42.95877828728355</c:v>
                </c:pt>
                <c:pt idx="4">
                  <c:v>44.416715983540065</c:v>
                </c:pt>
                <c:pt idx="5">
                  <c:v>43.312490842090227</c:v>
                </c:pt>
                <c:pt idx="6">
                  <c:v>42.182400288866944</c:v>
                </c:pt>
                <c:pt idx="7">
                  <c:v>43.50900538000424</c:v>
                </c:pt>
                <c:pt idx="8">
                  <c:v>41.689892449189003</c:v>
                </c:pt>
                <c:pt idx="9">
                  <c:v>39.584257231886966</c:v>
                </c:pt>
                <c:pt idx="10">
                  <c:v>39.339785940793128</c:v>
                </c:pt>
                <c:pt idx="11">
                  <c:v>39.146077653583866</c:v>
                </c:pt>
                <c:pt idx="12">
                  <c:v>39.197954041865664</c:v>
                </c:pt>
                <c:pt idx="13">
                  <c:v>39.278584232069051</c:v>
                </c:pt>
                <c:pt idx="14">
                  <c:v>39.376819458656975</c:v>
                </c:pt>
                <c:pt idx="15">
                  <c:v>39.372468047859556</c:v>
                </c:pt>
                <c:pt idx="16">
                  <c:v>39.332721088640106</c:v>
                </c:pt>
                <c:pt idx="17">
                  <c:v>39.280408719948845</c:v>
                </c:pt>
                <c:pt idx="18">
                  <c:v>39.235660891600716</c:v>
                </c:pt>
                <c:pt idx="19">
                  <c:v>39.193221298457175</c:v>
                </c:pt>
                <c:pt idx="20">
                  <c:v>39.15468719099627</c:v>
                </c:pt>
                <c:pt idx="21">
                  <c:v>39.162383529359197</c:v>
                </c:pt>
                <c:pt idx="22">
                  <c:v>39.158806337212866</c:v>
                </c:pt>
                <c:pt idx="23">
                  <c:v>39.154767142647671</c:v>
                </c:pt>
                <c:pt idx="24">
                  <c:v>39.129786276896972</c:v>
                </c:pt>
                <c:pt idx="25">
                  <c:v>39.081082804049579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42.973045681419535</c:v>
                </c:pt>
                <c:pt idx="1">
                  <c:v>40.858503899412568</c:v>
                </c:pt>
                <c:pt idx="2">
                  <c:v>43.603423611850559</c:v>
                </c:pt>
                <c:pt idx="3">
                  <c:v>42.297145873867834</c:v>
                </c:pt>
                <c:pt idx="4">
                  <c:v>44.404439947504329</c:v>
                </c:pt>
                <c:pt idx="5">
                  <c:v>47.140684059777129</c:v>
                </c:pt>
                <c:pt idx="6">
                  <c:v>45.758727910641014</c:v>
                </c:pt>
                <c:pt idx="7">
                  <c:v>45.111181661888381</c:v>
                </c:pt>
                <c:pt idx="8">
                  <c:v>46.622432564123997</c:v>
                </c:pt>
                <c:pt idx="9">
                  <c:v>46.572468845695909</c:v>
                </c:pt>
                <c:pt idx="10">
                  <c:v>40.358374305998041</c:v>
                </c:pt>
                <c:pt idx="11">
                  <c:v>42.152648695568132</c:v>
                </c:pt>
                <c:pt idx="12">
                  <c:v>41.985973408861739</c:v>
                </c:pt>
                <c:pt idx="13">
                  <c:v>41.876378434988908</c:v>
                </c:pt>
                <c:pt idx="14">
                  <c:v>41.849929579412247</c:v>
                </c:pt>
                <c:pt idx="15">
                  <c:v>41.728305575825772</c:v>
                </c:pt>
                <c:pt idx="16">
                  <c:v>41.619545922873002</c:v>
                </c:pt>
                <c:pt idx="17">
                  <c:v>41.491040503442491</c:v>
                </c:pt>
                <c:pt idx="18">
                  <c:v>41.351075007282233</c:v>
                </c:pt>
                <c:pt idx="19">
                  <c:v>41.192511409106501</c:v>
                </c:pt>
                <c:pt idx="20">
                  <c:v>41.050637321667011</c:v>
                </c:pt>
                <c:pt idx="21">
                  <c:v>40.890185200904028</c:v>
                </c:pt>
                <c:pt idx="22">
                  <c:v>40.743806502203341</c:v>
                </c:pt>
                <c:pt idx="23">
                  <c:v>40.587353731846378</c:v>
                </c:pt>
                <c:pt idx="24">
                  <c:v>40.401247502090484</c:v>
                </c:pt>
                <c:pt idx="25">
                  <c:v>40.199737732609378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56.558240212106661</c:v>
                </c:pt>
                <c:pt idx="1">
                  <c:v>53.287801355768877</c:v>
                </c:pt>
                <c:pt idx="2">
                  <c:v>54.241899859391033</c:v>
                </c:pt>
                <c:pt idx="3">
                  <c:v>51.361914172153973</c:v>
                </c:pt>
                <c:pt idx="4">
                  <c:v>52.547623466111517</c:v>
                </c:pt>
                <c:pt idx="5">
                  <c:v>56.959938314054895</c:v>
                </c:pt>
                <c:pt idx="6">
                  <c:v>56.285078773834478</c:v>
                </c:pt>
                <c:pt idx="7">
                  <c:v>55.139332336312677</c:v>
                </c:pt>
                <c:pt idx="8">
                  <c:v>53.46168716327859</c:v>
                </c:pt>
                <c:pt idx="9">
                  <c:v>51.598951207068083</c:v>
                </c:pt>
                <c:pt idx="10">
                  <c:v>46.286833202091827</c:v>
                </c:pt>
                <c:pt idx="11">
                  <c:v>48.966539075399957</c:v>
                </c:pt>
                <c:pt idx="12">
                  <c:v>48.840048373207026</c:v>
                </c:pt>
                <c:pt idx="13">
                  <c:v>48.605736996396629</c:v>
                </c:pt>
                <c:pt idx="14">
                  <c:v>48.407669690159487</c:v>
                </c:pt>
                <c:pt idx="15">
                  <c:v>48.234655478640505</c:v>
                </c:pt>
                <c:pt idx="16">
                  <c:v>48.000242439216322</c:v>
                </c:pt>
                <c:pt idx="17">
                  <c:v>47.696719246926321</c:v>
                </c:pt>
                <c:pt idx="18">
                  <c:v>47.422375452955499</c:v>
                </c:pt>
                <c:pt idx="19">
                  <c:v>47.167810334714233</c:v>
                </c:pt>
                <c:pt idx="20">
                  <c:v>46.942197126864194</c:v>
                </c:pt>
                <c:pt idx="21">
                  <c:v>46.698404565753712</c:v>
                </c:pt>
                <c:pt idx="22">
                  <c:v>46.497425531660028</c:v>
                </c:pt>
                <c:pt idx="23">
                  <c:v>46.311072599276187</c:v>
                </c:pt>
                <c:pt idx="24">
                  <c:v>46.136375799057404</c:v>
                </c:pt>
                <c:pt idx="25">
                  <c:v>45.977952071338812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49.226179286534204</c:v>
                </c:pt>
                <c:pt idx="1">
                  <c:v>121.73921749855063</c:v>
                </c:pt>
                <c:pt idx="2">
                  <c:v>71.509944652399085</c:v>
                </c:pt>
                <c:pt idx="3">
                  <c:v>53.527270896017249</c:v>
                </c:pt>
                <c:pt idx="4">
                  <c:v>46.762923727753545</c:v>
                </c:pt>
                <c:pt idx="5">
                  <c:v>53.919691330747085</c:v>
                </c:pt>
                <c:pt idx="6">
                  <c:v>39.081082804049579</c:v>
                </c:pt>
                <c:pt idx="7">
                  <c:v>40.199737732609378</c:v>
                </c:pt>
                <c:pt idx="8">
                  <c:v>45.977952071338812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47.800367492375784</c:v>
                </c:pt>
                <c:pt idx="1">
                  <c:v>103.54383323968845</c:v>
                </c:pt>
                <c:pt idx="2">
                  <c:v>60.815602010650593</c:v>
                </c:pt>
                <c:pt idx="3">
                  <c:v>56.47840028321459</c:v>
                </c:pt>
                <c:pt idx="4">
                  <c:v>52.232847099052961</c:v>
                </c:pt>
                <c:pt idx="5">
                  <c:v>49.337956426134348</c:v>
                </c:pt>
                <c:pt idx="6">
                  <c:v>39.339785940793128</c:v>
                </c:pt>
                <c:pt idx="7">
                  <c:v>40.358374305998041</c:v>
                </c:pt>
                <c:pt idx="8">
                  <c:v>46.286833202091827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9.4313143338239822</c:v>
                </c:pt>
                <c:pt idx="1">
                  <c:v>23.32419138807051</c:v>
                </c:pt>
                <c:pt idx="2">
                  <c:v>13.7006929196234</c:v>
                </c:pt>
                <c:pt idx="3">
                  <c:v>10.255366647766293</c:v>
                </c:pt>
                <c:pt idx="4">
                  <c:v>8.9593756663077997</c:v>
                </c:pt>
                <c:pt idx="5">
                  <c:v>10.330551042017369</c:v>
                </c:pt>
                <c:pt idx="6">
                  <c:v>7.4876007395524455</c:v>
                </c:pt>
                <c:pt idx="7">
                  <c:v>7.701925442692974</c:v>
                </c:pt>
                <c:pt idx="8">
                  <c:v>8.8089818201452363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9.6334029618205399</c:v>
                </c:pt>
                <c:pt idx="1">
                  <c:v>20.867610902124678</c:v>
                </c:pt>
                <c:pt idx="2">
                  <c:v>12.256416242568559</c:v>
                </c:pt>
                <c:pt idx="3">
                  <c:v>11.38232229394443</c:v>
                </c:pt>
                <c:pt idx="4">
                  <c:v>10.526698649933895</c:v>
                </c:pt>
                <c:pt idx="5">
                  <c:v>9.9432795290016358</c:v>
                </c:pt>
                <c:pt idx="6">
                  <c:v>7.9283074645790057</c:v>
                </c:pt>
                <c:pt idx="7">
                  <c:v>8.1335877310080456</c:v>
                </c:pt>
                <c:pt idx="8">
                  <c:v>9.3283742250192176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8.3852664195490014</c:v>
                </c:pt>
                <c:pt idx="1">
                  <c:v>17.349782547889351</c:v>
                </c:pt>
                <c:pt idx="2">
                  <c:v>11.101978662129754</c:v>
                </c:pt>
                <c:pt idx="3">
                  <c:v>11.895267590496077</c:v>
                </c:pt>
                <c:pt idx="4">
                  <c:v>12.124868521552321</c:v>
                </c:pt>
                <c:pt idx="5">
                  <c:v>9.9845701671974023</c:v>
                </c:pt>
                <c:pt idx="6">
                  <c:v>8.5671966726316882</c:v>
                </c:pt>
                <c:pt idx="7">
                  <c:v>9.3244120522857958</c:v>
                </c:pt>
                <c:pt idx="8">
                  <c:v>11.266657366268603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7.3771673209990563E-2</c:v>
                </c:pt>
                <c:pt idx="1">
                  <c:v>8.0216071864206567E-2</c:v>
                </c:pt>
                <c:pt idx="2">
                  <c:v>8.1370214874618887E-2</c:v>
                </c:pt>
                <c:pt idx="3">
                  <c:v>8.3879295271931456E-2</c:v>
                </c:pt>
                <c:pt idx="4">
                  <c:v>8.2304199660933011E-2</c:v>
                </c:pt>
                <c:pt idx="5">
                  <c:v>8.3852664195490006E-2</c:v>
                </c:pt>
                <c:pt idx="6">
                  <c:v>8.5298944593424034E-2</c:v>
                </c:pt>
                <c:pt idx="7">
                  <c:v>8.7833961991028456E-2</c:v>
                </c:pt>
                <c:pt idx="8">
                  <c:v>9.0017645010714881E-2</c:v>
                </c:pt>
                <c:pt idx="9">
                  <c:v>9.0885135458674451E-2</c:v>
                </c:pt>
                <c:pt idx="10">
                  <c:v>9.6334029618205405E-2</c:v>
                </c:pt>
                <c:pt idx="11">
                  <c:v>8.6101268232573136E-2</c:v>
                </c:pt>
                <c:pt idx="12">
                  <c:v>8.6634438932457758E-2</c:v>
                </c:pt>
                <c:pt idx="13">
                  <c:v>8.7160336526297164E-2</c:v>
                </c:pt>
                <c:pt idx="14">
                  <c:v>8.768975325090797E-2</c:v>
                </c:pt>
                <c:pt idx="15">
                  <c:v>8.8239231553748881E-2</c:v>
                </c:pt>
                <c:pt idx="16">
                  <c:v>8.8787984060065203E-2</c:v>
                </c:pt>
                <c:pt idx="17">
                  <c:v>8.9357449442895934E-2</c:v>
                </c:pt>
                <c:pt idx="18">
                  <c:v>8.9946866697059424E-2</c:v>
                </c:pt>
                <c:pt idx="19">
                  <c:v>9.0550194015238672E-2</c:v>
                </c:pt>
                <c:pt idx="20">
                  <c:v>9.1174053353493156E-2</c:v>
                </c:pt>
                <c:pt idx="21">
                  <c:v>9.1780473072086963E-2</c:v>
                </c:pt>
                <c:pt idx="22">
                  <c:v>9.2383578070578024E-2</c:v>
                </c:pt>
                <c:pt idx="23">
                  <c:v>9.3001972766441635E-2</c:v>
                </c:pt>
                <c:pt idx="24">
                  <c:v>9.3648266006737771E-2</c:v>
                </c:pt>
                <c:pt idx="25">
                  <c:v>9.4313143338239827E-2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0.17733504505610823</c:v>
                </c:pt>
                <c:pt idx="1">
                  <c:v>0.17857231109633342</c:v>
                </c:pt>
                <c:pt idx="2">
                  <c:v>0.17359177156139335</c:v>
                </c:pt>
                <c:pt idx="3">
                  <c:v>0.17959331108201743</c:v>
                </c:pt>
                <c:pt idx="4">
                  <c:v>0.17826621447653995</c:v>
                </c:pt>
                <c:pt idx="5">
                  <c:v>0.1734978254788935</c:v>
                </c:pt>
                <c:pt idx="6">
                  <c:v>0.18432206873456233</c:v>
                </c:pt>
                <c:pt idx="7">
                  <c:v>0.18244312772670512</c:v>
                </c:pt>
                <c:pt idx="8">
                  <c:v>0.18811246879284013</c:v>
                </c:pt>
                <c:pt idx="9">
                  <c:v>0.19426192278862214</c:v>
                </c:pt>
                <c:pt idx="10">
                  <c:v>0.20867610902124678</c:v>
                </c:pt>
                <c:pt idx="11">
                  <c:v>0.20994204838127725</c:v>
                </c:pt>
                <c:pt idx="12">
                  <c:v>0.21133990151471255</c:v>
                </c:pt>
                <c:pt idx="13">
                  <c:v>0.21302660386662531</c:v>
                </c:pt>
                <c:pt idx="14">
                  <c:v>0.21474690981953798</c:v>
                </c:pt>
                <c:pt idx="15">
                  <c:v>0.21640686609265414</c:v>
                </c:pt>
                <c:pt idx="16">
                  <c:v>0.21812419514319528</c:v>
                </c:pt>
                <c:pt idx="17">
                  <c:v>0.21988330895544275</c:v>
                </c:pt>
                <c:pt idx="18">
                  <c:v>0.22155534909470509</c:v>
                </c:pt>
                <c:pt idx="19">
                  <c:v>0.22324314935374148</c:v>
                </c:pt>
                <c:pt idx="20">
                  <c:v>0.22495408849782703</c:v>
                </c:pt>
                <c:pt idx="21">
                  <c:v>0.22667749502002654</c:v>
                </c:pt>
                <c:pt idx="22">
                  <c:v>0.22834265061157771</c:v>
                </c:pt>
                <c:pt idx="23">
                  <c:v>0.23000810327489102</c:v>
                </c:pt>
                <c:pt idx="24">
                  <c:v>0.23167253951153233</c:v>
                </c:pt>
                <c:pt idx="25">
                  <c:v>0.23324191388070512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0.10979305713519295</c:v>
                </c:pt>
                <c:pt idx="1">
                  <c:v>0.11057378303983095</c:v>
                </c:pt>
                <c:pt idx="2">
                  <c:v>0.11190337377530099</c:v>
                </c:pt>
                <c:pt idx="3">
                  <c:v>0.11238214119397776</c:v>
                </c:pt>
                <c:pt idx="4">
                  <c:v>0.11201847914772294</c:v>
                </c:pt>
                <c:pt idx="5">
                  <c:v>0.11101978662129754</c:v>
                </c:pt>
                <c:pt idx="6">
                  <c:v>0.11296978494346736</c:v>
                </c:pt>
                <c:pt idx="7">
                  <c:v>0.11548500372295867</c:v>
                </c:pt>
                <c:pt idx="8">
                  <c:v>0.11499801597263927</c:v>
                </c:pt>
                <c:pt idx="9">
                  <c:v>0.11514573938806162</c:v>
                </c:pt>
                <c:pt idx="10">
                  <c:v>0.12256416242568559</c:v>
                </c:pt>
                <c:pt idx="11">
                  <c:v>0.12515466559540012</c:v>
                </c:pt>
                <c:pt idx="12">
                  <c:v>0.12568812364164225</c:v>
                </c:pt>
                <c:pt idx="13">
                  <c:v>0.12646841633751699</c:v>
                </c:pt>
                <c:pt idx="14">
                  <c:v>0.12737845046249033</c:v>
                </c:pt>
                <c:pt idx="15">
                  <c:v>0.12823353715513774</c:v>
                </c:pt>
                <c:pt idx="16">
                  <c:v>0.12907582970465833</c:v>
                </c:pt>
                <c:pt idx="17">
                  <c:v>0.12992798159341709</c:v>
                </c:pt>
                <c:pt idx="18">
                  <c:v>0.13082151008101209</c:v>
                </c:pt>
                <c:pt idx="19">
                  <c:v>0.13172523372943895</c:v>
                </c:pt>
                <c:pt idx="20">
                  <c:v>0.13260452688490176</c:v>
                </c:pt>
                <c:pt idx="21">
                  <c:v>0.13345558360159143</c:v>
                </c:pt>
                <c:pt idx="22">
                  <c:v>0.1342841345520675</c:v>
                </c:pt>
                <c:pt idx="23">
                  <c:v>0.13519346737158547</c:v>
                </c:pt>
                <c:pt idx="24">
                  <c:v>0.13609173938519295</c:v>
                </c:pt>
                <c:pt idx="25">
                  <c:v>0.137006929196234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0.11898002187430967</c:v>
                </c:pt>
                <c:pt idx="1">
                  <c:v>0.12061885048602992</c:v>
                </c:pt>
                <c:pt idx="2">
                  <c:v>0.12039855583954254</c:v>
                </c:pt>
                <c:pt idx="3">
                  <c:v>0.11740518831681562</c:v>
                </c:pt>
                <c:pt idx="4">
                  <c:v>0.11749827425981028</c:v>
                </c:pt>
                <c:pt idx="5">
                  <c:v>0.11895267590496078</c:v>
                </c:pt>
                <c:pt idx="6">
                  <c:v>0.11432414091406243</c:v>
                </c:pt>
                <c:pt idx="7">
                  <c:v>0.11735795438053295</c:v>
                </c:pt>
                <c:pt idx="8">
                  <c:v>0.11433611341464038</c:v>
                </c:pt>
                <c:pt idx="9">
                  <c:v>0.10719100214587177</c:v>
                </c:pt>
                <c:pt idx="10">
                  <c:v>0.1138232229394443</c:v>
                </c:pt>
                <c:pt idx="11">
                  <c:v>0.11546148709663885</c:v>
                </c:pt>
                <c:pt idx="12">
                  <c:v>0.11510006263915581</c:v>
                </c:pt>
                <c:pt idx="13">
                  <c:v>0.11454766944875766</c:v>
                </c:pt>
                <c:pt idx="14">
                  <c:v>0.11390153152105079</c:v>
                </c:pt>
                <c:pt idx="15">
                  <c:v>0.11316576715065062</c:v>
                </c:pt>
                <c:pt idx="16">
                  <c:v>0.11226616937198709</c:v>
                </c:pt>
                <c:pt idx="17">
                  <c:v>0.1113402584258943</c:v>
                </c:pt>
                <c:pt idx="18">
                  <c:v>0.11031746150009022</c:v>
                </c:pt>
                <c:pt idx="19">
                  <c:v>0.10926841800113507</c:v>
                </c:pt>
                <c:pt idx="20">
                  <c:v>0.1082308396284187</c:v>
                </c:pt>
                <c:pt idx="21">
                  <c:v>0.10714374160418297</c:v>
                </c:pt>
                <c:pt idx="22">
                  <c:v>0.10604674822654428</c:v>
                </c:pt>
                <c:pt idx="23">
                  <c:v>0.10480758619410727</c:v>
                </c:pt>
                <c:pt idx="24">
                  <c:v>0.10361879576246809</c:v>
                </c:pt>
                <c:pt idx="25">
                  <c:v>0.10255366647766292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0.12812216666096624</c:v>
                </c:pt>
                <c:pt idx="1">
                  <c:v>0.12429159186670967</c:v>
                </c:pt>
                <c:pt idx="2">
                  <c:v>0.12253356561748502</c:v>
                </c:pt>
                <c:pt idx="3">
                  <c:v>0.12197150687999557</c:v>
                </c:pt>
                <c:pt idx="4">
                  <c:v>0.11970730451022482</c:v>
                </c:pt>
                <c:pt idx="5">
                  <c:v>0.12124868521552321</c:v>
                </c:pt>
                <c:pt idx="6">
                  <c:v>0.1099013990657732</c:v>
                </c:pt>
                <c:pt idx="7">
                  <c:v>0.11015370811014034</c:v>
                </c:pt>
                <c:pt idx="8">
                  <c:v>0.11575542107206192</c:v>
                </c:pt>
                <c:pt idx="9">
                  <c:v>0.12145935567296101</c:v>
                </c:pt>
                <c:pt idx="10">
                  <c:v>0.10526698649933895</c:v>
                </c:pt>
                <c:pt idx="11">
                  <c:v>0.10572544356296672</c:v>
                </c:pt>
                <c:pt idx="12">
                  <c:v>0.10440869977153022</c:v>
                </c:pt>
                <c:pt idx="13">
                  <c:v>0.10294947481960613</c:v>
                </c:pt>
                <c:pt idx="14">
                  <c:v>0.1016285521218066</c:v>
                </c:pt>
                <c:pt idx="15">
                  <c:v>0.10043548042439408</c:v>
                </c:pt>
                <c:pt idx="16">
                  <c:v>9.9268872787470971E-2</c:v>
                </c:pt>
                <c:pt idx="17">
                  <c:v>9.8118032533422758E-2</c:v>
                </c:pt>
                <c:pt idx="18">
                  <c:v>9.7013775875358088E-2</c:v>
                </c:pt>
                <c:pt idx="19">
                  <c:v>9.5906192925297132E-2</c:v>
                </c:pt>
                <c:pt idx="20">
                  <c:v>9.4817721437017707E-2</c:v>
                </c:pt>
                <c:pt idx="21">
                  <c:v>9.3739244787828802E-2</c:v>
                </c:pt>
                <c:pt idx="22">
                  <c:v>9.2692769756451299E-2</c:v>
                </c:pt>
                <c:pt idx="23">
                  <c:v>9.1658338287449501E-2</c:v>
                </c:pt>
                <c:pt idx="24">
                  <c:v>9.0622797227515026E-2</c:v>
                </c:pt>
                <c:pt idx="25">
                  <c:v>8.9593756663078006E-2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0.10213351421956417</c:v>
                </c:pt>
                <c:pt idx="1">
                  <c:v>0.10109923405336008</c:v>
                </c:pt>
                <c:pt idx="2">
                  <c:v>9.9558124443855214E-2</c:v>
                </c:pt>
                <c:pt idx="3">
                  <c:v>0.10053178037632904</c:v>
                </c:pt>
                <c:pt idx="4">
                  <c:v>0.10108712601997688</c:v>
                </c:pt>
                <c:pt idx="5">
                  <c:v>9.9845701671974027E-2</c:v>
                </c:pt>
                <c:pt idx="6">
                  <c:v>0.10698591366145717</c:v>
                </c:pt>
                <c:pt idx="7">
                  <c:v>0.10602981277133594</c:v>
                </c:pt>
                <c:pt idx="8">
                  <c:v>9.9192130157709751E-2</c:v>
                </c:pt>
                <c:pt idx="9">
                  <c:v>0.100911124272574</c:v>
                </c:pt>
                <c:pt idx="10">
                  <c:v>9.9432795290016363E-2</c:v>
                </c:pt>
                <c:pt idx="11">
                  <c:v>9.7144464525239213E-2</c:v>
                </c:pt>
                <c:pt idx="12">
                  <c:v>9.7599467999404804E-2</c:v>
                </c:pt>
                <c:pt idx="13">
                  <c:v>9.8104014232223952E-2</c:v>
                </c:pt>
                <c:pt idx="14">
                  <c:v>9.8564557492802324E-2</c:v>
                </c:pt>
                <c:pt idx="15">
                  <c:v>9.8985950582185178E-2</c:v>
                </c:pt>
                <c:pt idx="16">
                  <c:v>9.9413042560070969E-2</c:v>
                </c:pt>
                <c:pt idx="17">
                  <c:v>9.9856805434189427E-2</c:v>
                </c:pt>
                <c:pt idx="18">
                  <c:v>0.10032626450688624</c:v>
                </c:pt>
                <c:pt idx="19">
                  <c:v>0.10077198096190727</c:v>
                </c:pt>
                <c:pt idx="20">
                  <c:v>0.10116535657928841</c:v>
                </c:pt>
                <c:pt idx="21">
                  <c:v>0.10159202824045485</c:v>
                </c:pt>
                <c:pt idx="22">
                  <c:v>0.10199742094863692</c:v>
                </c:pt>
                <c:pt idx="23">
                  <c:v>0.10243802935723788</c:v>
                </c:pt>
                <c:pt idx="24">
                  <c:v>0.10288301018829034</c:v>
                </c:pt>
                <c:pt idx="25">
                  <c:v>0.10330551042017369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8.5119876663777863E-2</c:v>
                </c:pt>
                <c:pt idx="1">
                  <c:v>8.8528016047659433E-2</c:v>
                </c:pt>
                <c:pt idx="2">
                  <c:v>8.9807502438832357E-2</c:v>
                </c:pt>
                <c:pt idx="3">
                  <c:v>8.9376796090451988E-2</c:v>
                </c:pt>
                <c:pt idx="4">
                  <c:v>9.0838231741617634E-2</c:v>
                </c:pt>
                <c:pt idx="5">
                  <c:v>8.5671966726316884E-2</c:v>
                </c:pt>
                <c:pt idx="6">
                  <c:v>8.3705369675430824E-2</c:v>
                </c:pt>
                <c:pt idx="7">
                  <c:v>8.4953139745357814E-2</c:v>
                </c:pt>
                <c:pt idx="8">
                  <c:v>8.1627247886259968E-2</c:v>
                </c:pt>
                <c:pt idx="9">
                  <c:v>7.7626693085705703E-2</c:v>
                </c:pt>
                <c:pt idx="10">
                  <c:v>7.9283074645790055E-2</c:v>
                </c:pt>
                <c:pt idx="11">
                  <c:v>7.8274152252149787E-2</c:v>
                </c:pt>
                <c:pt idx="12">
                  <c:v>7.8149113184295377E-2</c:v>
                </c:pt>
                <c:pt idx="13">
                  <c:v>7.8018993447338314E-2</c:v>
                </c:pt>
                <c:pt idx="14">
                  <c:v>7.7788132615292938E-2</c:v>
                </c:pt>
                <c:pt idx="15">
                  <c:v>7.7485334498117689E-2</c:v>
                </c:pt>
                <c:pt idx="16">
                  <c:v>7.7188820049728962E-2</c:v>
                </c:pt>
                <c:pt idx="17">
                  <c:v>7.6903546023099886E-2</c:v>
                </c:pt>
                <c:pt idx="18">
                  <c:v>7.6632449524413615E-2</c:v>
                </c:pt>
                <c:pt idx="19">
                  <c:v>7.6366993812535588E-2</c:v>
                </c:pt>
                <c:pt idx="20">
                  <c:v>7.6079336859953578E-2</c:v>
                </c:pt>
                <c:pt idx="21">
                  <c:v>7.5886826859044701E-2</c:v>
                </c:pt>
                <c:pt idx="22">
                  <c:v>7.5669629654303044E-2</c:v>
                </c:pt>
                <c:pt idx="23">
                  <c:v>7.5447508497934745E-2</c:v>
                </c:pt>
                <c:pt idx="24">
                  <c:v>7.5185681165042331E-2</c:v>
                </c:pt>
                <c:pt idx="25">
                  <c:v>7.4876007395524455E-2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8.8399350127579643E-2</c:v>
                </c:pt>
                <c:pt idx="1">
                  <c:v>8.5105393953697636E-2</c:v>
                </c:pt>
                <c:pt idx="2">
                  <c:v>8.9500200357665941E-2</c:v>
                </c:pt>
                <c:pt idx="3">
                  <c:v>8.8000253561583225E-2</c:v>
                </c:pt>
                <c:pt idx="4">
                  <c:v>9.0813125576481607E-2</c:v>
                </c:pt>
                <c:pt idx="5">
                  <c:v>9.3244120522857965E-2</c:v>
                </c:pt>
                <c:pt idx="6">
                  <c:v>9.0802116745560491E-2</c:v>
                </c:pt>
                <c:pt idx="7">
                  <c:v>8.8081455467191205E-2</c:v>
                </c:pt>
                <c:pt idx="8">
                  <c:v>9.1284976678950885E-2</c:v>
                </c:pt>
                <c:pt idx="9">
                  <c:v>9.1330922900737438E-2</c:v>
                </c:pt>
                <c:pt idx="10">
                  <c:v>8.1335877310080462E-2</c:v>
                </c:pt>
                <c:pt idx="11">
                  <c:v>8.4285911631461083E-2</c:v>
                </c:pt>
                <c:pt idx="12">
                  <c:v>8.3707598222536761E-2</c:v>
                </c:pt>
                <c:pt idx="13">
                  <c:v>8.317898820930994E-2</c:v>
                </c:pt>
                <c:pt idx="14">
                  <c:v>8.267371303266309E-2</c:v>
                </c:pt>
                <c:pt idx="15">
                  <c:v>8.2121641743469684E-2</c:v>
                </c:pt>
                <c:pt idx="16">
                  <c:v>8.1676618140714211E-2</c:v>
                </c:pt>
                <c:pt idx="17">
                  <c:v>8.1231541292041493E-2</c:v>
                </c:pt>
                <c:pt idx="18">
                  <c:v>8.0764133858496012E-2</c:v>
                </c:pt>
                <c:pt idx="19">
                  <c:v>8.0262559689776483E-2</c:v>
                </c:pt>
                <c:pt idx="20">
                  <c:v>7.9763254138039794E-2</c:v>
                </c:pt>
                <c:pt idx="21">
                  <c:v>7.9234870938052177E-2</c:v>
                </c:pt>
                <c:pt idx="22">
                  <c:v>7.8732449660970663E-2</c:v>
                </c:pt>
                <c:pt idx="23">
                  <c:v>7.8207966463853015E-2</c:v>
                </c:pt>
                <c:pt idx="24">
                  <c:v>7.7628722320816676E-2</c:v>
                </c:pt>
                <c:pt idx="25">
                  <c:v>7.7019254426929737E-2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0.11634529505251058</c:v>
                </c:pt>
                <c:pt idx="1">
                  <c:v>0.11099474759217248</c:v>
                </c:pt>
                <c:pt idx="2">
                  <c:v>0.11133669109130567</c:v>
                </c:pt>
                <c:pt idx="3">
                  <c:v>0.10685972722689785</c:v>
                </c:pt>
                <c:pt idx="4">
                  <c:v>0.10746704460669275</c:v>
                </c:pt>
                <c:pt idx="5">
                  <c:v>0.11266657366268604</c:v>
                </c:pt>
                <c:pt idx="6">
                  <c:v>0.11169026166626213</c:v>
                </c:pt>
                <c:pt idx="7">
                  <c:v>0.10766183608474943</c:v>
                </c:pt>
                <c:pt idx="8">
                  <c:v>0.10467598101418264</c:v>
                </c:pt>
                <c:pt idx="9">
                  <c:v>0.10118810428679198</c:v>
                </c:pt>
                <c:pt idx="10">
                  <c:v>9.3283742250192175E-2</c:v>
                </c:pt>
                <c:pt idx="11">
                  <c:v>9.7910558722293858E-2</c:v>
                </c:pt>
                <c:pt idx="12">
                  <c:v>9.7372594094264422E-2</c:v>
                </c:pt>
                <c:pt idx="13">
                  <c:v>9.6545503112324391E-2</c:v>
                </c:pt>
                <c:pt idx="14">
                  <c:v>9.5628399683448023E-2</c:v>
                </c:pt>
                <c:pt idx="15">
                  <c:v>9.4926190799642013E-2</c:v>
                </c:pt>
                <c:pt idx="16">
                  <c:v>9.4198468182108988E-2</c:v>
                </c:pt>
                <c:pt idx="17">
                  <c:v>9.3381076299596341E-2</c:v>
                </c:pt>
                <c:pt idx="18">
                  <c:v>9.2622188861978968E-2</c:v>
                </c:pt>
                <c:pt idx="19">
                  <c:v>9.1905277510929376E-2</c:v>
                </c:pt>
                <c:pt idx="20">
                  <c:v>9.1210822621059867E-2</c:v>
                </c:pt>
                <c:pt idx="21">
                  <c:v>9.0489735876731522E-2</c:v>
                </c:pt>
                <c:pt idx="22">
                  <c:v>8.9850618518870676E-2</c:v>
                </c:pt>
                <c:pt idx="23">
                  <c:v>8.9237027786499376E-2</c:v>
                </c:pt>
                <c:pt idx="24">
                  <c:v>8.8648448432404367E-2</c:v>
                </c:pt>
                <c:pt idx="25">
                  <c:v>8.8089818201452369E-2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3.9524273935769543</c:v>
                </c:pt>
                <c:pt idx="1">
                  <c:v>11.346268904764429</c:v>
                </c:pt>
                <c:pt idx="2">
                  <c:v>2.5889966680571703</c:v>
                </c:pt>
                <c:pt idx="3">
                  <c:v>-5.4779378206172993</c:v>
                </c:pt>
                <c:pt idx="4">
                  <c:v>0.63716290273828236</c:v>
                </c:pt>
                <c:pt idx="5">
                  <c:v>0.97951788275135243</c:v>
                </c:pt>
                <c:pt idx="6">
                  <c:v>-3.7282336102032616</c:v>
                </c:pt>
                <c:pt idx="7">
                  <c:v>-0.56821521408122067</c:v>
                </c:pt>
                <c:pt idx="8">
                  <c:v>-5.360987106986812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1.4552194827984977</c:v>
                </c:pt>
                <c:pt idx="1">
                  <c:v>4.4836566901636417</c:v>
                </c:pt>
                <c:pt idx="2">
                  <c:v>2.0992199787569845</c:v>
                </c:pt>
                <c:pt idx="3">
                  <c:v>1.8183853679680908</c:v>
                </c:pt>
                <c:pt idx="4">
                  <c:v>-9.7030435986156789</c:v>
                </c:pt>
                <c:pt idx="5">
                  <c:v>-2.1197540853035477</c:v>
                </c:pt>
                <c:pt idx="6">
                  <c:v>-0.24447129109383781</c:v>
                </c:pt>
                <c:pt idx="7">
                  <c:v>-6.214094539697868</c:v>
                </c:pt>
                <c:pt idx="8">
                  <c:v>-5.3121180049762557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-2.9635432414324612</c:v>
                </c:pt>
                <c:pt idx="1">
                  <c:v>6.4185548142397266</c:v>
                </c:pt>
                <c:pt idx="2">
                  <c:v>4.3434487569152509</c:v>
                </c:pt>
                <c:pt idx="3">
                  <c:v>1.0242946475112191</c:v>
                </c:pt>
                <c:pt idx="4">
                  <c:v>-1.1987673019664342</c:v>
                </c:pt>
                <c:pt idx="5">
                  <c:v>0.95957667129025026</c:v>
                </c:pt>
                <c:pt idx="6">
                  <c:v>3.2682107066428046E-2</c:v>
                </c:pt>
                <c:pt idx="7">
                  <c:v>1.3699312698277311</c:v>
                </c:pt>
                <c:pt idx="8">
                  <c:v>1.9478222765486777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4.3893550355908815</c:v>
                </c:pt>
                <c:pt idx="1">
                  <c:v>11.77682944462245</c:v>
                </c:pt>
                <c:pt idx="2">
                  <c:v>6.3508938848332406</c:v>
                </c:pt>
                <c:pt idx="3">
                  <c:v>-3.9754240347085599</c:v>
                </c:pt>
                <c:pt idx="4">
                  <c:v>-4.2711560693329815</c:v>
                </c:pt>
                <c:pt idx="5">
                  <c:v>3.6221582333224873</c:v>
                </c:pt>
                <c:pt idx="6">
                  <c:v>-0.29138524380997666</c:v>
                </c:pt>
                <c:pt idx="7">
                  <c:v>-1.5285678432163934</c:v>
                </c:pt>
                <c:pt idx="8">
                  <c:v>-2.2567034073016927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1.4258117941584203</c:v>
                </c:pt>
                <c:pt idx="1">
                  <c:v>18.195384258862177</c:v>
                </c:pt>
                <c:pt idx="2">
                  <c:v>10.694342641748491</c:v>
                </c:pt>
                <c:pt idx="3">
                  <c:v>-2.9511293871973407</c:v>
                </c:pt>
                <c:pt idx="4">
                  <c:v>-5.4699233712994157</c:v>
                </c:pt>
                <c:pt idx="5">
                  <c:v>4.5817349046127376</c:v>
                </c:pt>
                <c:pt idx="6">
                  <c:v>-0.25870313674354861</c:v>
                </c:pt>
                <c:pt idx="7">
                  <c:v>-0.15863657338866233</c:v>
                </c:pt>
                <c:pt idx="8">
                  <c:v>-0.30888113075301504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1.7830188812056278</c:v>
                </c:pt>
                <c:pt idx="1">
                  <c:v>8.4690861567320681</c:v>
                </c:pt>
                <c:pt idx="2">
                  <c:v>11.079510330737847</c:v>
                </c:pt>
                <c:pt idx="3">
                  <c:v>-6.3775980186378973</c:v>
                </c:pt>
                <c:pt idx="4">
                  <c:v>0.3979725432080885</c:v>
                </c:pt>
                <c:pt idx="5">
                  <c:v>3.2612268633044152</c:v>
                </c:pt>
                <c:pt idx="6">
                  <c:v>-1.3157675291981619</c:v>
                </c:pt>
                <c:pt idx="7">
                  <c:v>1.1255063458547223</c:v>
                </c:pt>
                <c:pt idx="8">
                  <c:v>-1.018019175199214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-0.35720708704726434</c:v>
                </c:pt>
                <c:pt idx="1">
                  <c:v>9.7262981021300732</c:v>
                </c:pt>
                <c:pt idx="2">
                  <c:v>-0.38516768898934117</c:v>
                </c:pt>
                <c:pt idx="3">
                  <c:v>3.4264686314405459</c:v>
                </c:pt>
                <c:pt idx="4">
                  <c:v>-5.8678959145074927</c:v>
                </c:pt>
                <c:pt idx="5">
                  <c:v>1.3205080413083401</c:v>
                </c:pt>
                <c:pt idx="6">
                  <c:v>1.0570643924546381</c:v>
                </c:pt>
                <c:pt idx="7">
                  <c:v>-1.2841429192434219</c:v>
                </c:pt>
                <c:pt idx="8">
                  <c:v>0.70913804444616702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0.60559692774230367</c:v>
                </c:pt>
                <c:pt idx="1">
                  <c:v>-0.72323028969761083</c:v>
                </c:pt>
                <c:pt idx="2">
                  <c:v>0.29298384140115097</c:v>
                </c:pt>
                <c:pt idx="3">
                  <c:v>-0.20415079775819689</c:v>
                </c:pt>
                <c:pt idx="4">
                  <c:v>0.25996926950360333</c:v>
                </c:pt>
                <c:pt idx="5">
                  <c:v>0.95412783797023559</c:v>
                </c:pt>
                <c:pt idx="6">
                  <c:v>-0.30715457981355176</c:v>
                </c:pt>
                <c:pt idx="7">
                  <c:v>1.3917716101557138</c:v>
                </c:pt>
                <c:pt idx="8">
                  <c:v>1.332911329198665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1.1074753511642967</c:v>
                </c:pt>
                <c:pt idx="1">
                  <c:v>4.668839839479908</c:v>
                </c:pt>
                <c:pt idx="2">
                  <c:v>3.896740366550917</c:v>
                </c:pt>
                <c:pt idx="3">
                  <c:v>-2.8135822080758714</c:v>
                </c:pt>
                <c:pt idx="4">
                  <c:v>0.74480451899973943</c:v>
                </c:pt>
                <c:pt idx="5">
                  <c:v>-9.1719547650075839E-2</c:v>
                </c:pt>
                <c:pt idx="6">
                  <c:v>8.9791488116198082E-2</c:v>
                </c:pt>
                <c:pt idx="7">
                  <c:v>1.0012849937463946</c:v>
                </c:pt>
                <c:pt idx="8">
                  <c:v>-3.1621975121292323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-0.28726048474828048</c:v>
                </c:pt>
                <c:pt idx="1">
                  <c:v>14.249774709079901</c:v>
                </c:pt>
                <c:pt idx="2">
                  <c:v>6.5046184337964519</c:v>
                </c:pt>
                <c:pt idx="3">
                  <c:v>6.6603618636719375E-2</c:v>
                </c:pt>
                <c:pt idx="4">
                  <c:v>-6.4746971598027834</c:v>
                </c:pt>
                <c:pt idx="5">
                  <c:v>3.7193266142925658</c:v>
                </c:pt>
                <c:pt idx="6">
                  <c:v>-4.1340045046158735E-2</c:v>
                </c:pt>
                <c:pt idx="7">
                  <c:v>-2.5516931772907938</c:v>
                </c:pt>
                <c:pt idx="8">
                  <c:v>1.5204050521774874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0.1893462422243446</c:v>
                </c:pt>
                <c:pt idx="1">
                  <c:v>0.18937346564651447</c:v>
                </c:pt>
                <c:pt idx="2">
                  <c:v>4.6744078089476115E-2</c:v>
                </c:pt>
                <c:pt idx="3">
                  <c:v>-0.38398713222560854</c:v>
                </c:pt>
                <c:pt idx="4">
                  <c:v>0.20331299854023688</c:v>
                </c:pt>
                <c:pt idx="5">
                  <c:v>0.62348820171453267</c:v>
                </c:pt>
                <c:pt idx="6">
                  <c:v>-0.19678794556677326</c:v>
                </c:pt>
                <c:pt idx="7">
                  <c:v>8.5068675290709217E-2</c:v>
                </c:pt>
                <c:pt idx="8">
                  <c:v>0.62964900081526665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0.83013942865801349</c:v>
                </c:pt>
                <c:pt idx="1">
                  <c:v>2.9781676593616915</c:v>
                </c:pt>
                <c:pt idx="2">
                  <c:v>3.6814584912563237</c:v>
                </c:pt>
                <c:pt idx="3">
                  <c:v>-3.0674853697983124</c:v>
                </c:pt>
                <c:pt idx="4">
                  <c:v>9.688604538831358E-2</c:v>
                </c:pt>
                <c:pt idx="5">
                  <c:v>-0.71552140485717075</c:v>
                </c:pt>
                <c:pt idx="6">
                  <c:v>-0.60932062924115726</c:v>
                </c:pt>
                <c:pt idx="7">
                  <c:v>0.60655508613569475</c:v>
                </c:pt>
                <c:pt idx="8">
                  <c:v>-2.1220448898079951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0.7635332103232475</c:v>
                </c:pt>
                <c:pt idx="1">
                  <c:v>5.3015450317239008</c:v>
                </c:pt>
                <c:pt idx="2">
                  <c:v>7.3513077613920395</c:v>
                </c:pt>
                <c:pt idx="3">
                  <c:v>-2.926125516613947</c:v>
                </c:pt>
                <c:pt idx="4">
                  <c:v>9.7773499279538045E-2</c:v>
                </c:pt>
                <c:pt idx="5">
                  <c:v>3.353260066447028</c:v>
                </c:pt>
                <c:pt idx="6">
                  <c:v>-0.50965895439022812</c:v>
                </c:pt>
                <c:pt idx="7">
                  <c:v>0.43388258442831473</c:v>
                </c:pt>
                <c:pt idx="8">
                  <c:v>0.474376713793494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0.41625068551795241</c:v>
                </c:pt>
                <c:pt idx="1">
                  <c:v>-0.91260375534413019</c:v>
                </c:pt>
                <c:pt idx="2">
                  <c:v>0.24623976331167352</c:v>
                </c:pt>
                <c:pt idx="3">
                  <c:v>0.17983633446741065</c:v>
                </c:pt>
                <c:pt idx="4">
                  <c:v>5.6656270963379995E-2</c:v>
                </c:pt>
                <c:pt idx="5">
                  <c:v>0.33063963625570436</c:v>
                </c:pt>
                <c:pt idx="6">
                  <c:v>-0.11036663424677862</c:v>
                </c:pt>
                <c:pt idx="7">
                  <c:v>1.3067029348650028</c:v>
                </c:pt>
                <c:pt idx="8">
                  <c:v>0.70326232838339653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0.27733592250628059</c:v>
                </c:pt>
                <c:pt idx="1">
                  <c:v>1.6906721801182165</c:v>
                </c:pt>
                <c:pt idx="2">
                  <c:v>0.21528187529459419</c:v>
                </c:pt>
                <c:pt idx="3">
                  <c:v>0.25390316172245875</c:v>
                </c:pt>
                <c:pt idx="4">
                  <c:v>0.64791847361142718</c:v>
                </c:pt>
                <c:pt idx="5">
                  <c:v>0.62380185720708781</c:v>
                </c:pt>
                <c:pt idx="6">
                  <c:v>0.69911211735735002</c:v>
                </c:pt>
                <c:pt idx="7">
                  <c:v>0.39472990761069937</c:v>
                </c:pt>
                <c:pt idx="8">
                  <c:v>-1.0401526223212283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-1.0507936950715226</c:v>
                </c:pt>
                <c:pt idx="1">
                  <c:v>8.9482296773560108</c:v>
                </c:pt>
                <c:pt idx="2">
                  <c:v>-0.84668932759557336</c:v>
                </c:pt>
                <c:pt idx="3">
                  <c:v>2.9927291352506593</c:v>
                </c:pt>
                <c:pt idx="4">
                  <c:v>-6.5724706590823061</c:v>
                </c:pt>
                <c:pt idx="5">
                  <c:v>0.3660665478455476</c:v>
                </c:pt>
                <c:pt idx="6">
                  <c:v>0.46831890934405607</c:v>
                </c:pt>
                <c:pt idx="7">
                  <c:v>-2.9855757617191117</c:v>
                </c:pt>
                <c:pt idx="8">
                  <c:v>1.0460283383840085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44.984409789543079</c:v>
                </c:pt>
                <c:pt idx="1">
                  <c:v>43.06408542998733</c:v>
                </c:pt>
                <c:pt idx="2">
                  <c:v>43.932229055451046</c:v>
                </c:pt>
                <c:pt idx="3">
                  <c:v>45.539860181778636</c:v>
                </c:pt>
                <c:pt idx="4">
                  <c:v>37.885028683570489</c:v>
                </c:pt>
                <c:pt idx="5">
                  <c:v>40.997802959579182</c:v>
                </c:pt>
                <c:pt idx="6">
                  <c:v>36.649719347697754</c:v>
                </c:pt>
                <c:pt idx="7">
                  <c:v>38.499075334532776</c:v>
                </c:pt>
                <c:pt idx="8">
                  <c:v>30.351027927750962</c:v>
                </c:pt>
                <c:pt idx="9">
                  <c:v>32.369011383166644</c:v>
                </c:pt>
                <c:pt idx="10">
                  <c:v>31.789981501026656</c:v>
                </c:pt>
                <c:pt idx="11">
                  <c:v>23.3748994771884</c:v>
                </c:pt>
                <c:pt idx="12">
                  <c:v>24.579133768035025</c:v>
                </c:pt>
                <c:pt idx="13">
                  <c:v>22.759429510541612</c:v>
                </c:pt>
                <c:pt idx="14">
                  <c:v>21.04015848124072</c:v>
                </c:pt>
                <c:pt idx="15">
                  <c:v>19.911447118783787</c:v>
                </c:pt>
                <c:pt idx="16">
                  <c:v>18.904403729353358</c:v>
                </c:pt>
                <c:pt idx="17">
                  <c:v>17.925671587661185</c:v>
                </c:pt>
                <c:pt idx="18">
                  <c:v>17.008785443995592</c:v>
                </c:pt>
                <c:pt idx="19">
                  <c:v>16.131834819688372</c:v>
                </c:pt>
                <c:pt idx="20">
                  <c:v>15.301721360851804</c:v>
                </c:pt>
                <c:pt idx="21">
                  <c:v>14.507839736154725</c:v>
                </c:pt>
                <c:pt idx="22">
                  <c:v>13.755274250414407</c:v>
                </c:pt>
                <c:pt idx="23">
                  <c:v>13.043103268358076</c:v>
                </c:pt>
                <c:pt idx="24">
                  <c:v>12.398677330283029</c:v>
                </c:pt>
                <c:pt idx="25">
                  <c:v>12.149824637316074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86.990458326041733</c:v>
                </c:pt>
                <c:pt idx="1">
                  <c:v>85.888682008269157</c:v>
                </c:pt>
                <c:pt idx="2">
                  <c:v>77.798094130437846</c:v>
                </c:pt>
                <c:pt idx="3">
                  <c:v>72.887386517228407</c:v>
                </c:pt>
                <c:pt idx="4">
                  <c:v>82.717805083880179</c:v>
                </c:pt>
                <c:pt idx="5">
                  <c:v>74.233403679264697</c:v>
                </c:pt>
                <c:pt idx="6">
                  <c:v>69.973404361741331</c:v>
                </c:pt>
                <c:pt idx="7">
                  <c:v>72.159848074685414</c:v>
                </c:pt>
                <c:pt idx="8">
                  <c:v>68.758354501827569</c:v>
                </c:pt>
                <c:pt idx="9">
                  <c:v>65.981308811181634</c:v>
                </c:pt>
                <c:pt idx="10">
                  <c:v>60.025143488041671</c:v>
                </c:pt>
                <c:pt idx="11">
                  <c:v>60.6107262339941</c:v>
                </c:pt>
                <c:pt idx="12">
                  <c:v>57.796577585068981</c:v>
                </c:pt>
                <c:pt idx="13">
                  <c:v>55.761668155946168</c:v>
                </c:pt>
                <c:pt idx="14">
                  <c:v>53.831710225860832</c:v>
                </c:pt>
                <c:pt idx="15">
                  <c:v>51.781456172775556</c:v>
                </c:pt>
                <c:pt idx="16">
                  <c:v>49.700759342251693</c:v>
                </c:pt>
                <c:pt idx="17">
                  <c:v>47.622989473986571</c:v>
                </c:pt>
                <c:pt idx="18">
                  <c:v>45.56926892551558</c:v>
                </c:pt>
                <c:pt idx="19">
                  <c:v>43.543377059098979</c:v>
                </c:pt>
                <c:pt idx="20">
                  <c:v>41.56980706048882</c:v>
                </c:pt>
                <c:pt idx="21">
                  <c:v>39.610055587346658</c:v>
                </c:pt>
                <c:pt idx="22">
                  <c:v>37.666681266795869</c:v>
                </c:pt>
                <c:pt idx="23">
                  <c:v>35.742314375797434</c:v>
                </c:pt>
                <c:pt idx="24">
                  <c:v>33.838680132126335</c:v>
                </c:pt>
                <c:pt idx="25">
                  <c:v>31.922824506490045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111.46901122811188</c:v>
                </c:pt>
                <c:pt idx="1">
                  <c:v>112.01879666054357</c:v>
                </c:pt>
                <c:pt idx="2">
                  <c:v>111.73857356047557</c:v>
                </c:pt>
                <c:pt idx="3">
                  <c:v>107.69668372891317</c:v>
                </c:pt>
                <c:pt idx="4">
                  <c:v>103.10819296262156</c:v>
                </c:pt>
                <c:pt idx="5">
                  <c:v>111.83473985337399</c:v>
                </c:pt>
                <c:pt idx="6">
                  <c:v>111.52833855734382</c:v>
                </c:pt>
                <c:pt idx="7">
                  <c:v>117.59753353378089</c:v>
                </c:pt>
                <c:pt idx="8">
                  <c:v>121.86814274179331</c:v>
                </c:pt>
                <c:pt idx="9">
                  <c:v>114.81041065304436</c:v>
                </c:pt>
                <c:pt idx="10">
                  <c:v>99.097694185079277</c:v>
                </c:pt>
                <c:pt idx="11">
                  <c:v>105.74531274274106</c:v>
                </c:pt>
                <c:pt idx="12">
                  <c:v>106.68460193764754</c:v>
                </c:pt>
                <c:pt idx="13">
                  <c:v>106.03554426609911</c:v>
                </c:pt>
                <c:pt idx="14">
                  <c:v>105.49839213267013</c:v>
                </c:pt>
                <c:pt idx="15">
                  <c:v>104.59848858249428</c:v>
                </c:pt>
                <c:pt idx="16">
                  <c:v>103.52206798618141</c:v>
                </c:pt>
                <c:pt idx="17">
                  <c:v>102.34528626370759</c:v>
                </c:pt>
                <c:pt idx="18">
                  <c:v>101.11247740067854</c:v>
                </c:pt>
                <c:pt idx="19">
                  <c:v>99.835659596577258</c:v>
                </c:pt>
                <c:pt idx="20">
                  <c:v>98.550827967457892</c:v>
                </c:pt>
                <c:pt idx="21">
                  <c:v>97.218922464032005</c:v>
                </c:pt>
                <c:pt idx="22">
                  <c:v>95.848070500235153</c:v>
                </c:pt>
                <c:pt idx="23">
                  <c:v>94.437994830924652</c:v>
                </c:pt>
                <c:pt idx="24">
                  <c:v>92.975737756564939</c:v>
                </c:pt>
                <c:pt idx="25">
                  <c:v>91.39399146131467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97.290765424142919</c:v>
                </c:pt>
                <c:pt idx="1">
                  <c:v>95.561198378836679</c:v>
                </c:pt>
                <c:pt idx="2">
                  <c:v>101.5691401090502</c:v>
                </c:pt>
                <c:pt idx="3">
                  <c:v>102.12314801460045</c:v>
                </c:pt>
                <c:pt idx="4">
                  <c:v>106.39040679180378</c:v>
                </c:pt>
                <c:pt idx="5">
                  <c:v>101.26753787756158</c:v>
                </c:pt>
                <c:pt idx="6">
                  <c:v>100.47900960894461</c:v>
                </c:pt>
                <c:pt idx="7">
                  <c:v>108.56185953713322</c:v>
                </c:pt>
                <c:pt idx="8">
                  <c:v>113.49420506920785</c:v>
                </c:pt>
                <c:pt idx="9">
                  <c:v>109.81054068418129</c:v>
                </c:pt>
                <c:pt idx="10">
                  <c:v>104.45390013907588</c:v>
                </c:pt>
                <c:pt idx="11">
                  <c:v>106.8092015924145</c:v>
                </c:pt>
                <c:pt idx="12">
                  <c:v>107.61332334073882</c:v>
                </c:pt>
                <c:pt idx="13">
                  <c:v>108.16478384900864</c:v>
                </c:pt>
                <c:pt idx="14">
                  <c:v>108.88243558492032</c:v>
                </c:pt>
                <c:pt idx="15">
                  <c:v>109.2768904531888</c:v>
                </c:pt>
                <c:pt idx="16">
                  <c:v>109.51896638896282</c:v>
                </c:pt>
                <c:pt idx="17">
                  <c:v>109.68781332035327</c:v>
                </c:pt>
                <c:pt idx="18">
                  <c:v>109.825805886548</c:v>
                </c:pt>
                <c:pt idx="19">
                  <c:v>109.92641388889751</c:v>
                </c:pt>
                <c:pt idx="20">
                  <c:v>110.05192031561253</c:v>
                </c:pt>
                <c:pt idx="21">
                  <c:v>110.15520647639065</c:v>
                </c:pt>
                <c:pt idx="22">
                  <c:v>110.24329635419345</c:v>
                </c:pt>
                <c:pt idx="23">
                  <c:v>110.31609890434194</c:v>
                </c:pt>
                <c:pt idx="24">
                  <c:v>110.36481067933668</c:v>
                </c:pt>
                <c:pt idx="25">
                  <c:v>110.31070181595217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21.930311283055584</c:v>
                </c:pt>
                <c:pt idx="1">
                  <c:v>21.983884712813026</c:v>
                </c:pt>
                <c:pt idx="2">
                  <c:v>23.122261246621576</c:v>
                </c:pt>
                <c:pt idx="3">
                  <c:v>22.323609241715307</c:v>
                </c:pt>
                <c:pt idx="4">
                  <c:v>23.485353741552679</c:v>
                </c:pt>
                <c:pt idx="5">
                  <c:v>26.614616285853966</c:v>
                </c:pt>
                <c:pt idx="6">
                  <c:v>27.037282816146753</c:v>
                </c:pt>
                <c:pt idx="7">
                  <c:v>23.990280839470127</c:v>
                </c:pt>
                <c:pt idx="8">
                  <c:v>23.504853921699702</c:v>
                </c:pt>
                <c:pt idx="9">
                  <c:v>24.767108663845459</c:v>
                </c:pt>
                <c:pt idx="10">
                  <c:v>26.960304923339123</c:v>
                </c:pt>
                <c:pt idx="11">
                  <c:v>27.323950708932699</c:v>
                </c:pt>
                <c:pt idx="12">
                  <c:v>26.573854446899251</c:v>
                </c:pt>
                <c:pt idx="13">
                  <c:v>27.026933453002563</c:v>
                </c:pt>
                <c:pt idx="14">
                  <c:v>27.526133459944692</c:v>
                </c:pt>
                <c:pt idx="15">
                  <c:v>27.933787823735234</c:v>
                </c:pt>
                <c:pt idx="16">
                  <c:v>28.314811194888378</c:v>
                </c:pt>
                <c:pt idx="17">
                  <c:v>28.685608423760268</c:v>
                </c:pt>
                <c:pt idx="18" formatCode="General">
                  <c:v>29.055545428357956</c:v>
                </c:pt>
                <c:pt idx="19" formatCode="General">
                  <c:v>29.417325093699986</c:v>
                </c:pt>
                <c:pt idx="20" formatCode="General">
                  <c:v>29.798303740407029</c:v>
                </c:pt>
                <c:pt idx="21" formatCode="General">
                  <c:v>30.177246255635545</c:v>
                </c:pt>
                <c:pt idx="22">
                  <c:v>30.569431355573172</c:v>
                </c:pt>
                <c:pt idx="23">
                  <c:v>30.984647825039204</c:v>
                </c:pt>
                <c:pt idx="24">
                  <c:v>31.38516537973651</c:v>
                </c:pt>
                <c:pt idx="25">
                  <c:v>31.755382202989395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26.341781759912568</c:v>
                </c:pt>
                <c:pt idx="1">
                  <c:v>26.445544427659666</c:v>
                </c:pt>
                <c:pt idx="2">
                  <c:v>27.148029996520226</c:v>
                </c:pt>
                <c:pt idx="3">
                  <c:v>25.999350689274731</c:v>
                </c:pt>
                <c:pt idx="4">
                  <c:v>26.625759941697467</c:v>
                </c:pt>
                <c:pt idx="5">
                  <c:v>27.262700234542443</c:v>
                </c:pt>
                <c:pt idx="6">
                  <c:v>29.099100080495997</c:v>
                </c:pt>
                <c:pt idx="7">
                  <c:v>26.612028259343699</c:v>
                </c:pt>
                <c:pt idx="8">
                  <c:v>25.04043365638794</c:v>
                </c:pt>
                <c:pt idx="9">
                  <c:v>24.998245553760093</c:v>
                </c:pt>
                <c:pt idx="10">
                  <c:v>27.828114439543217</c:v>
                </c:pt>
                <c:pt idx="11">
                  <c:v>27.533346120493544</c:v>
                </c:pt>
                <c:pt idx="12">
                  <c:v>26.472358559524334</c:v>
                </c:pt>
                <c:pt idx="13">
                  <c:v>26.663977110504582</c:v>
                </c:pt>
                <c:pt idx="14">
                  <c:v>26.914821950535039</c:v>
                </c:pt>
                <c:pt idx="15">
                  <c:v>27.09209478806142</c:v>
                </c:pt>
                <c:pt idx="16">
                  <c:v>27.25324550367899</c:v>
                </c:pt>
                <c:pt idx="17">
                  <c:v>27.421745901747475</c:v>
                </c:pt>
                <c:pt idx="18" formatCode="General">
                  <c:v>27.576993758563859</c:v>
                </c:pt>
                <c:pt idx="19" formatCode="General">
                  <c:v>27.799767701170563</c:v>
                </c:pt>
                <c:pt idx="20" formatCode="General">
                  <c:v>28.03461299029075</c:v>
                </c:pt>
                <c:pt idx="21" formatCode="General">
                  <c:v>28.279158160898557</c:v>
                </c:pt>
                <c:pt idx="22">
                  <c:v>28.545939196493656</c:v>
                </c:pt>
                <c:pt idx="23">
                  <c:v>28.819551413897294</c:v>
                </c:pt>
                <c:pt idx="24">
                  <c:v>29.100216743119791</c:v>
                </c:pt>
                <c:pt idx="25">
                  <c:v>29.363125462266989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63.452769163924209</c:v>
                </c:pt>
                <c:pt idx="1">
                  <c:v>66.816627284745707</c:v>
                </c:pt>
                <c:pt idx="2">
                  <c:v>70.590050233683428</c:v>
                </c:pt>
                <c:pt idx="3">
                  <c:v>70.846513353488021</c:v>
                </c:pt>
                <c:pt idx="4">
                  <c:v>75.733302581678203</c:v>
                </c:pt>
                <c:pt idx="5">
                  <c:v>83.671480205468967</c:v>
                </c:pt>
                <c:pt idx="6">
                  <c:v>87.402102773251116</c:v>
                </c:pt>
                <c:pt idx="7">
                  <c:v>82.024676470865288</c:v>
                </c:pt>
                <c:pt idx="8">
                  <c:v>78.943948994443545</c:v>
                </c:pt>
                <c:pt idx="9">
                  <c:v>81.914992761114377</c:v>
                </c:pt>
                <c:pt idx="10">
                  <c:v>91.033181866654573</c:v>
                </c:pt>
                <c:pt idx="11">
                  <c:v>93.248756638001353</c:v>
                </c:pt>
                <c:pt idx="12">
                  <c:v>91.799598700589357</c:v>
                </c:pt>
                <c:pt idx="13">
                  <c:v>93.715069060912739</c:v>
                </c:pt>
                <c:pt idx="14">
                  <c:v>95.777824676683437</c:v>
                </c:pt>
                <c:pt idx="15">
                  <c:v>97.545774606448177</c:v>
                </c:pt>
                <c:pt idx="16">
                  <c:v>99.165197170393853</c:v>
                </c:pt>
                <c:pt idx="17">
                  <c:v>100.71081577748653</c:v>
                </c:pt>
                <c:pt idx="18" formatCode="General">
                  <c:v>102.2612298382744</c:v>
                </c:pt>
                <c:pt idx="19" formatCode="General">
                  <c:v>103.74744728397818</c:v>
                </c:pt>
                <c:pt idx="20" formatCode="General">
                  <c:v>105.24834107023888</c:v>
                </c:pt>
                <c:pt idx="21" formatCode="General">
                  <c:v>106.71780955396694</c:v>
                </c:pt>
                <c:pt idx="22" formatCode="General">
                  <c:v>108.15103428734211</c:v>
                </c:pt>
                <c:pt idx="23" formatCode="General">
                  <c:v>109.56025756369634</c:v>
                </c:pt>
                <c:pt idx="24" formatCode="General">
                  <c:v>110.95793121969962</c:v>
                </c:pt>
                <c:pt idx="25" formatCode="General">
                  <c:v>112.29678035556751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29.369595795282631</c:v>
                </c:pt>
                <c:pt idx="1">
                  <c:v>24.546608938744605</c:v>
                </c:pt>
                <c:pt idx="2">
                  <c:v>27.161240968900334</c:v>
                </c:pt>
                <c:pt idx="3">
                  <c:v>28.876646791678251</c:v>
                </c:pt>
                <c:pt idx="4">
                  <c:v>28.5025074388899</c:v>
                </c:pt>
                <c:pt idx="5">
                  <c:v>34.372407642251233</c:v>
                </c:pt>
                <c:pt idx="6">
                  <c:v>36.220834681574203</c:v>
                </c:pt>
                <c:pt idx="7">
                  <c:v>37.061370719350712</c:v>
                </c:pt>
                <c:pt idx="8">
                  <c:v>42.351476604244496</c:v>
                </c:pt>
                <c:pt idx="9">
                  <c:v>47.972540866402227</c:v>
                </c:pt>
                <c:pt idx="10">
                  <c:v>47.91411092379191</c:v>
                </c:pt>
                <c:pt idx="11">
                  <c:v>48.242024345287994</c:v>
                </c:pt>
                <c:pt idx="12">
                  <c:v>52.191426379012277</c:v>
                </c:pt>
                <c:pt idx="13">
                  <c:v>55.028799711659275</c:v>
                </c:pt>
                <c:pt idx="14">
                  <c:v>57.994395421804491</c:v>
                </c:pt>
                <c:pt idx="15">
                  <c:v>60.818658304566533</c:v>
                </c:pt>
                <c:pt idx="16">
                  <c:v>63.59053057870517</c:v>
                </c:pt>
                <c:pt idx="17">
                  <c:v>66.352149889998074</c:v>
                </c:pt>
                <c:pt idx="18" formatCode="General">
                  <c:v>69.144714263942404</c:v>
                </c:pt>
                <c:pt idx="19" formatCode="General">
                  <c:v>71.957669993779817</c:v>
                </c:pt>
                <c:pt idx="20" formatCode="General">
                  <c:v>74.810076002584381</c:v>
                </c:pt>
                <c:pt idx="21" formatCode="General">
                  <c:v>77.675321469551037</c:v>
                </c:pt>
                <c:pt idx="22" formatCode="General">
                  <c:v>80.560357885299211</c:v>
                </c:pt>
                <c:pt idx="23" formatCode="General">
                  <c:v>83.469764380924403</c:v>
                </c:pt>
                <c:pt idx="24" formatCode="General">
                  <c:v>86.383220624259323</c:v>
                </c:pt>
                <c:pt idx="25" formatCode="General">
                  <c:v>89.274782430541478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4.2948972299857004</c:v>
                </c:pt>
                <c:pt idx="1">
                  <c:v>3.7675721584002217</c:v>
                </c:pt>
                <c:pt idx="2">
                  <c:v>4.1283806988598863</c:v>
                </c:pt>
                <c:pt idx="3">
                  <c:v>4.3548014813228582</c:v>
                </c:pt>
                <c:pt idx="4">
                  <c:v>4.5166427743056374</c:v>
                </c:pt>
                <c:pt idx="5">
                  <c:v>5.307311262104184</c:v>
                </c:pt>
                <c:pt idx="6">
                  <c:v>5.5492077728044285</c:v>
                </c:pt>
                <c:pt idx="7">
                  <c:v>5.6463272308383452</c:v>
                </c:pt>
                <c:pt idx="8">
                  <c:v>6.4225565826442601</c:v>
                </c:pt>
                <c:pt idx="9">
                  <c:v>7.3068406233037084</c:v>
                </c:pt>
                <c:pt idx="10">
                  <c:v>7.0915685334472149</c:v>
                </c:pt>
                <c:pt idx="11">
                  <c:v>7.226782140945855</c:v>
                </c:pt>
                <c:pt idx="12">
                  <c:v>7.8681252824847814</c:v>
                </c:pt>
                <c:pt idx="13">
                  <c:v>8.2927948823258841</c:v>
                </c:pt>
                <c:pt idx="14">
                  <c:v>8.7401280663399881</c:v>
                </c:pt>
                <c:pt idx="15">
                  <c:v>9.1694021499465581</c:v>
                </c:pt>
                <c:pt idx="16">
                  <c:v>9.5950181055844812</c:v>
                </c:pt>
                <c:pt idx="17">
                  <c:v>10.022919361298742</c:v>
                </c:pt>
                <c:pt idx="18" formatCode="General">
                  <c:v>10.443179054123487</c:v>
                </c:pt>
                <c:pt idx="19" formatCode="General">
                  <c:v>10.862504563109454</c:v>
                </c:pt>
                <c:pt idx="20" formatCode="General">
                  <c:v>11.290389492068311</c:v>
                </c:pt>
                <c:pt idx="21" formatCode="General">
                  <c:v>11.721440296023689</c:v>
                </c:pt>
                <c:pt idx="22" formatCode="General">
                  <c:v>12.156914903652918</c:v>
                </c:pt>
                <c:pt idx="23" formatCode="General">
                  <c:v>12.593267437020247</c:v>
                </c:pt>
                <c:pt idx="24" formatCode="General">
                  <c:v>13.037560134873614</c:v>
                </c:pt>
                <c:pt idx="25" formatCode="General">
                  <c:v>13.476587127561645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44.984409789543079</c:v>
                </c:pt>
                <c:pt idx="1">
                  <c:v>43.06408542998733</c:v>
                </c:pt>
                <c:pt idx="2">
                  <c:v>43.932229055451046</c:v>
                </c:pt>
                <c:pt idx="3">
                  <c:v>45.539860181778636</c:v>
                </c:pt>
                <c:pt idx="4">
                  <c:v>37.885028683570489</c:v>
                </c:pt>
                <c:pt idx="5">
                  <c:v>40.997802959579182</c:v>
                </c:pt>
                <c:pt idx="6">
                  <c:v>36.649719347697754</c:v>
                </c:pt>
                <c:pt idx="7">
                  <c:v>38.499075334532776</c:v>
                </c:pt>
                <c:pt idx="8">
                  <c:v>30.351027927750962</c:v>
                </c:pt>
                <c:pt idx="9">
                  <c:v>32.369011383166644</c:v>
                </c:pt>
                <c:pt idx="10">
                  <c:v>31.789981501026656</c:v>
                </c:pt>
                <c:pt idx="11">
                  <c:v>23.3748994771884</c:v>
                </c:pt>
                <c:pt idx="12">
                  <c:v>24.579133768035025</c:v>
                </c:pt>
                <c:pt idx="13">
                  <c:v>22.759429510541612</c:v>
                </c:pt>
                <c:pt idx="14">
                  <c:v>21.04015848124072</c:v>
                </c:pt>
                <c:pt idx="15">
                  <c:v>19.911447118783787</c:v>
                </c:pt>
                <c:pt idx="16">
                  <c:v>18.904403729353358</c:v>
                </c:pt>
                <c:pt idx="17">
                  <c:v>17.925671587661185</c:v>
                </c:pt>
                <c:pt idx="18">
                  <c:v>17.008785443995592</c:v>
                </c:pt>
                <c:pt idx="19">
                  <c:v>16.131834819688372</c:v>
                </c:pt>
                <c:pt idx="20">
                  <c:v>15.301721360851804</c:v>
                </c:pt>
                <c:pt idx="21">
                  <c:v>14.507839736154725</c:v>
                </c:pt>
                <c:pt idx="22">
                  <c:v>13.755274250414407</c:v>
                </c:pt>
                <c:pt idx="23">
                  <c:v>13.043103268358076</c:v>
                </c:pt>
                <c:pt idx="24">
                  <c:v>12.398677330283029</c:v>
                </c:pt>
                <c:pt idx="25">
                  <c:v>12.149824637316074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86.990458326041733</c:v>
                </c:pt>
                <c:pt idx="1">
                  <c:v>85.888682008269157</c:v>
                </c:pt>
                <c:pt idx="2">
                  <c:v>77.798094130437846</c:v>
                </c:pt>
                <c:pt idx="3">
                  <c:v>72.887386517228407</c:v>
                </c:pt>
                <c:pt idx="4">
                  <c:v>82.717805083880179</c:v>
                </c:pt>
                <c:pt idx="5">
                  <c:v>74.233403679264697</c:v>
                </c:pt>
                <c:pt idx="6">
                  <c:v>69.973404361741331</c:v>
                </c:pt>
                <c:pt idx="7">
                  <c:v>72.159848074685414</c:v>
                </c:pt>
                <c:pt idx="8">
                  <c:v>68.758354501827569</c:v>
                </c:pt>
                <c:pt idx="9">
                  <c:v>65.981308811181634</c:v>
                </c:pt>
                <c:pt idx="10">
                  <c:v>60.025143488041671</c:v>
                </c:pt>
                <c:pt idx="11">
                  <c:v>60.6107262339941</c:v>
                </c:pt>
                <c:pt idx="12">
                  <c:v>57.796577585068981</c:v>
                </c:pt>
                <c:pt idx="13">
                  <c:v>55.761668155946168</c:v>
                </c:pt>
                <c:pt idx="14">
                  <c:v>53.831710225860832</c:v>
                </c:pt>
                <c:pt idx="15">
                  <c:v>51.781456172775556</c:v>
                </c:pt>
                <c:pt idx="16">
                  <c:v>49.700759342251693</c:v>
                </c:pt>
                <c:pt idx="17">
                  <c:v>47.622989473986571</c:v>
                </c:pt>
                <c:pt idx="18">
                  <c:v>45.56926892551558</c:v>
                </c:pt>
                <c:pt idx="19">
                  <c:v>43.543377059098979</c:v>
                </c:pt>
                <c:pt idx="20">
                  <c:v>41.56980706048882</c:v>
                </c:pt>
                <c:pt idx="21">
                  <c:v>39.610055587346658</c:v>
                </c:pt>
                <c:pt idx="22">
                  <c:v>37.666681266795869</c:v>
                </c:pt>
                <c:pt idx="23">
                  <c:v>35.742314375797434</c:v>
                </c:pt>
                <c:pt idx="24">
                  <c:v>33.838680132126335</c:v>
                </c:pt>
                <c:pt idx="25">
                  <c:v>31.922824506490045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111.46901122811188</c:v>
                </c:pt>
                <c:pt idx="1">
                  <c:v>112.01879666054357</c:v>
                </c:pt>
                <c:pt idx="2">
                  <c:v>111.73857356047557</c:v>
                </c:pt>
                <c:pt idx="3">
                  <c:v>107.69668372891317</c:v>
                </c:pt>
                <c:pt idx="4">
                  <c:v>103.10819296262156</c:v>
                </c:pt>
                <c:pt idx="5">
                  <c:v>111.83473985337399</c:v>
                </c:pt>
                <c:pt idx="6">
                  <c:v>111.52833855734382</c:v>
                </c:pt>
                <c:pt idx="7">
                  <c:v>117.59753353378089</c:v>
                </c:pt>
                <c:pt idx="8">
                  <c:v>121.86814274179331</c:v>
                </c:pt>
                <c:pt idx="9">
                  <c:v>114.81041065304436</c:v>
                </c:pt>
                <c:pt idx="10">
                  <c:v>99.097694185079277</c:v>
                </c:pt>
                <c:pt idx="11">
                  <c:v>105.74531274274106</c:v>
                </c:pt>
                <c:pt idx="12">
                  <c:v>106.68460193764754</c:v>
                </c:pt>
                <c:pt idx="13">
                  <c:v>106.03554426609911</c:v>
                </c:pt>
                <c:pt idx="14">
                  <c:v>105.49839213267013</c:v>
                </c:pt>
                <c:pt idx="15">
                  <c:v>104.59848858249428</c:v>
                </c:pt>
                <c:pt idx="16">
                  <c:v>103.52206798618141</c:v>
                </c:pt>
                <c:pt idx="17">
                  <c:v>102.34528626370759</c:v>
                </c:pt>
                <c:pt idx="18">
                  <c:v>101.11247740067854</c:v>
                </c:pt>
                <c:pt idx="19">
                  <c:v>99.835659596577258</c:v>
                </c:pt>
                <c:pt idx="20">
                  <c:v>98.550827967457892</c:v>
                </c:pt>
                <c:pt idx="21">
                  <c:v>97.218922464032005</c:v>
                </c:pt>
                <c:pt idx="22">
                  <c:v>95.848070500235153</c:v>
                </c:pt>
                <c:pt idx="23">
                  <c:v>94.437994830924652</c:v>
                </c:pt>
                <c:pt idx="24">
                  <c:v>92.975737756564939</c:v>
                </c:pt>
                <c:pt idx="25">
                  <c:v>91.39399146131467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97.290765424142919</c:v>
                </c:pt>
                <c:pt idx="1">
                  <c:v>95.561198378836679</c:v>
                </c:pt>
                <c:pt idx="2">
                  <c:v>101.5691401090502</c:v>
                </c:pt>
                <c:pt idx="3">
                  <c:v>102.12314801460045</c:v>
                </c:pt>
                <c:pt idx="4">
                  <c:v>106.39040679180378</c:v>
                </c:pt>
                <c:pt idx="5">
                  <c:v>101.26753787756158</c:v>
                </c:pt>
                <c:pt idx="6">
                  <c:v>100.47900960894461</c:v>
                </c:pt>
                <c:pt idx="7">
                  <c:v>108.56185953713322</c:v>
                </c:pt>
                <c:pt idx="8">
                  <c:v>113.49420506920785</c:v>
                </c:pt>
                <c:pt idx="9">
                  <c:v>109.81054068418129</c:v>
                </c:pt>
                <c:pt idx="10">
                  <c:v>104.45390013907588</c:v>
                </c:pt>
                <c:pt idx="11">
                  <c:v>106.8092015924145</c:v>
                </c:pt>
                <c:pt idx="12">
                  <c:v>107.61332334073882</c:v>
                </c:pt>
                <c:pt idx="13">
                  <c:v>108.16478384900864</c:v>
                </c:pt>
                <c:pt idx="14">
                  <c:v>108.88243558492032</c:v>
                </c:pt>
                <c:pt idx="15">
                  <c:v>109.2768904531888</c:v>
                </c:pt>
                <c:pt idx="16">
                  <c:v>109.51896638896282</c:v>
                </c:pt>
                <c:pt idx="17">
                  <c:v>109.68781332035327</c:v>
                </c:pt>
                <c:pt idx="18">
                  <c:v>109.825805886548</c:v>
                </c:pt>
                <c:pt idx="19">
                  <c:v>109.92641388889751</c:v>
                </c:pt>
                <c:pt idx="20">
                  <c:v>110.05192031561253</c:v>
                </c:pt>
                <c:pt idx="21">
                  <c:v>110.15520647639065</c:v>
                </c:pt>
                <c:pt idx="22">
                  <c:v>110.24329635419345</c:v>
                </c:pt>
                <c:pt idx="23">
                  <c:v>110.31609890434194</c:v>
                </c:pt>
                <c:pt idx="24">
                  <c:v>110.36481067933668</c:v>
                </c:pt>
                <c:pt idx="25">
                  <c:v>110.31070181595217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21.930311283055584</c:v>
                </c:pt>
                <c:pt idx="1">
                  <c:v>21.983884712813026</c:v>
                </c:pt>
                <c:pt idx="2">
                  <c:v>23.122261246621576</c:v>
                </c:pt>
                <c:pt idx="3">
                  <c:v>22.323609241715307</c:v>
                </c:pt>
                <c:pt idx="4">
                  <c:v>23.485353741552679</c:v>
                </c:pt>
                <c:pt idx="5">
                  <c:v>26.614616285853966</c:v>
                </c:pt>
                <c:pt idx="6">
                  <c:v>27.037282816146753</c:v>
                </c:pt>
                <c:pt idx="7">
                  <c:v>23.990280839470127</c:v>
                </c:pt>
                <c:pt idx="8">
                  <c:v>23.504853921699702</c:v>
                </c:pt>
                <c:pt idx="9">
                  <c:v>24.767108663845459</c:v>
                </c:pt>
                <c:pt idx="10">
                  <c:v>26.960304923339123</c:v>
                </c:pt>
                <c:pt idx="11">
                  <c:v>27.323950708932699</c:v>
                </c:pt>
                <c:pt idx="12">
                  <c:v>26.573854446899251</c:v>
                </c:pt>
                <c:pt idx="13">
                  <c:v>27.026933453002563</c:v>
                </c:pt>
                <c:pt idx="14">
                  <c:v>27.526133459944692</c:v>
                </c:pt>
                <c:pt idx="15">
                  <c:v>27.933787823735234</c:v>
                </c:pt>
                <c:pt idx="16">
                  <c:v>28.314811194888378</c:v>
                </c:pt>
                <c:pt idx="17">
                  <c:v>28.685608423760268</c:v>
                </c:pt>
                <c:pt idx="18" formatCode="General">
                  <c:v>29.055545428357956</c:v>
                </c:pt>
                <c:pt idx="19" formatCode="General">
                  <c:v>29.417325093699986</c:v>
                </c:pt>
                <c:pt idx="20" formatCode="General">
                  <c:v>29.798303740407029</c:v>
                </c:pt>
                <c:pt idx="21" formatCode="General">
                  <c:v>30.177246255635545</c:v>
                </c:pt>
                <c:pt idx="22">
                  <c:v>30.569431355573172</c:v>
                </c:pt>
                <c:pt idx="23">
                  <c:v>30.984647825039204</c:v>
                </c:pt>
                <c:pt idx="24">
                  <c:v>31.38516537973651</c:v>
                </c:pt>
                <c:pt idx="25">
                  <c:v>31.755382202989395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26.341781759912568</c:v>
                </c:pt>
                <c:pt idx="1">
                  <c:v>26.445544427659666</c:v>
                </c:pt>
                <c:pt idx="2">
                  <c:v>27.148029996520226</c:v>
                </c:pt>
                <c:pt idx="3">
                  <c:v>25.999350689274731</c:v>
                </c:pt>
                <c:pt idx="4">
                  <c:v>26.625759941697467</c:v>
                </c:pt>
                <c:pt idx="5">
                  <c:v>27.262700234542443</c:v>
                </c:pt>
                <c:pt idx="6">
                  <c:v>29.099100080495997</c:v>
                </c:pt>
                <c:pt idx="7">
                  <c:v>26.612028259343699</c:v>
                </c:pt>
                <c:pt idx="8">
                  <c:v>25.04043365638794</c:v>
                </c:pt>
                <c:pt idx="9">
                  <c:v>24.998245553760093</c:v>
                </c:pt>
                <c:pt idx="10">
                  <c:v>27.828114439543217</c:v>
                </c:pt>
                <c:pt idx="11">
                  <c:v>27.533346120493544</c:v>
                </c:pt>
                <c:pt idx="12">
                  <c:v>26.472358559524334</c:v>
                </c:pt>
                <c:pt idx="13">
                  <c:v>26.663977110504582</c:v>
                </c:pt>
                <c:pt idx="14">
                  <c:v>26.914821950535039</c:v>
                </c:pt>
                <c:pt idx="15">
                  <c:v>27.09209478806142</c:v>
                </c:pt>
                <c:pt idx="16">
                  <c:v>27.25324550367899</c:v>
                </c:pt>
                <c:pt idx="17">
                  <c:v>27.421745901747475</c:v>
                </c:pt>
                <c:pt idx="18" formatCode="General">
                  <c:v>27.576993758563859</c:v>
                </c:pt>
                <c:pt idx="19" formatCode="General">
                  <c:v>27.799767701170563</c:v>
                </c:pt>
                <c:pt idx="20" formatCode="General">
                  <c:v>28.03461299029075</c:v>
                </c:pt>
                <c:pt idx="21" formatCode="General">
                  <c:v>28.279158160898557</c:v>
                </c:pt>
                <c:pt idx="22">
                  <c:v>28.545939196493656</c:v>
                </c:pt>
                <c:pt idx="23">
                  <c:v>28.819551413897294</c:v>
                </c:pt>
                <c:pt idx="24">
                  <c:v>29.100216743119791</c:v>
                </c:pt>
                <c:pt idx="25">
                  <c:v>29.363125462266989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63.452769163924209</c:v>
                </c:pt>
                <c:pt idx="1">
                  <c:v>66.816627284745707</c:v>
                </c:pt>
                <c:pt idx="2">
                  <c:v>70.590050233683428</c:v>
                </c:pt>
                <c:pt idx="3">
                  <c:v>70.846513353488021</c:v>
                </c:pt>
                <c:pt idx="4">
                  <c:v>75.733302581678203</c:v>
                </c:pt>
                <c:pt idx="5">
                  <c:v>83.671480205468967</c:v>
                </c:pt>
                <c:pt idx="6">
                  <c:v>87.402102773251116</c:v>
                </c:pt>
                <c:pt idx="7">
                  <c:v>82.024676470865288</c:v>
                </c:pt>
                <c:pt idx="8">
                  <c:v>78.943948994443545</c:v>
                </c:pt>
                <c:pt idx="9">
                  <c:v>81.914992761114377</c:v>
                </c:pt>
                <c:pt idx="10">
                  <c:v>91.033181866654573</c:v>
                </c:pt>
                <c:pt idx="11">
                  <c:v>93.248756638001353</c:v>
                </c:pt>
                <c:pt idx="12">
                  <c:v>91.799598700589357</c:v>
                </c:pt>
                <c:pt idx="13">
                  <c:v>93.715069060912739</c:v>
                </c:pt>
                <c:pt idx="14">
                  <c:v>95.777824676683437</c:v>
                </c:pt>
                <c:pt idx="15">
                  <c:v>97.545774606448177</c:v>
                </c:pt>
                <c:pt idx="16">
                  <c:v>99.165197170393853</c:v>
                </c:pt>
                <c:pt idx="17">
                  <c:v>100.71081577748653</c:v>
                </c:pt>
                <c:pt idx="18" formatCode="General">
                  <c:v>102.2612298382744</c:v>
                </c:pt>
                <c:pt idx="19" formatCode="General">
                  <c:v>103.74744728397818</c:v>
                </c:pt>
                <c:pt idx="20" formatCode="General">
                  <c:v>105.24834107023888</c:v>
                </c:pt>
                <c:pt idx="21" formatCode="General">
                  <c:v>106.71780955396694</c:v>
                </c:pt>
                <c:pt idx="22" formatCode="General">
                  <c:v>108.15103428734211</c:v>
                </c:pt>
                <c:pt idx="23" formatCode="General">
                  <c:v>109.56025756369634</c:v>
                </c:pt>
                <c:pt idx="24" formatCode="General">
                  <c:v>110.95793121969962</c:v>
                </c:pt>
                <c:pt idx="25" formatCode="General">
                  <c:v>112.29678035556751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29.369595795282631</c:v>
                </c:pt>
                <c:pt idx="1">
                  <c:v>24.546608938744605</c:v>
                </c:pt>
                <c:pt idx="2">
                  <c:v>27.161240968900334</c:v>
                </c:pt>
                <c:pt idx="3">
                  <c:v>28.876646791678251</c:v>
                </c:pt>
                <c:pt idx="4">
                  <c:v>28.5025074388899</c:v>
                </c:pt>
                <c:pt idx="5">
                  <c:v>34.372407642251233</c:v>
                </c:pt>
                <c:pt idx="6">
                  <c:v>36.220834681574203</c:v>
                </c:pt>
                <c:pt idx="7">
                  <c:v>37.061370719350712</c:v>
                </c:pt>
                <c:pt idx="8">
                  <c:v>42.351476604244496</c:v>
                </c:pt>
                <c:pt idx="9">
                  <c:v>47.972540866402227</c:v>
                </c:pt>
                <c:pt idx="10">
                  <c:v>47.91411092379191</c:v>
                </c:pt>
                <c:pt idx="11">
                  <c:v>48.242024345287994</c:v>
                </c:pt>
                <c:pt idx="12">
                  <c:v>52.191426379012277</c:v>
                </c:pt>
                <c:pt idx="13">
                  <c:v>55.028799711659275</c:v>
                </c:pt>
                <c:pt idx="14">
                  <c:v>57.994395421804491</c:v>
                </c:pt>
                <c:pt idx="15">
                  <c:v>60.818658304566533</c:v>
                </c:pt>
                <c:pt idx="16">
                  <c:v>63.59053057870517</c:v>
                </c:pt>
                <c:pt idx="17">
                  <c:v>66.352149889998074</c:v>
                </c:pt>
                <c:pt idx="18" formatCode="General">
                  <c:v>69.144714263942404</c:v>
                </c:pt>
                <c:pt idx="19" formatCode="General">
                  <c:v>71.957669993779817</c:v>
                </c:pt>
                <c:pt idx="20" formatCode="General">
                  <c:v>74.810076002584381</c:v>
                </c:pt>
                <c:pt idx="21" formatCode="General">
                  <c:v>77.675321469551037</c:v>
                </c:pt>
                <c:pt idx="22" formatCode="General">
                  <c:v>80.560357885299211</c:v>
                </c:pt>
                <c:pt idx="23" formatCode="General">
                  <c:v>83.469764380924403</c:v>
                </c:pt>
                <c:pt idx="24" formatCode="General">
                  <c:v>86.383220624259323</c:v>
                </c:pt>
                <c:pt idx="25" formatCode="General">
                  <c:v>89.274782430541478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4.2948972299857004</c:v>
                </c:pt>
                <c:pt idx="1">
                  <c:v>3.7675721584002217</c:v>
                </c:pt>
                <c:pt idx="2">
                  <c:v>4.1283806988598863</c:v>
                </c:pt>
                <c:pt idx="3">
                  <c:v>4.3548014813228582</c:v>
                </c:pt>
                <c:pt idx="4">
                  <c:v>4.5166427743056374</c:v>
                </c:pt>
                <c:pt idx="5">
                  <c:v>5.307311262104184</c:v>
                </c:pt>
                <c:pt idx="6">
                  <c:v>5.5492077728044285</c:v>
                </c:pt>
                <c:pt idx="7">
                  <c:v>5.6463272308383452</c:v>
                </c:pt>
                <c:pt idx="8">
                  <c:v>6.4225565826442601</c:v>
                </c:pt>
                <c:pt idx="9">
                  <c:v>7.3068406233037084</c:v>
                </c:pt>
                <c:pt idx="10">
                  <c:v>7.0915685334472149</c:v>
                </c:pt>
                <c:pt idx="11">
                  <c:v>7.226782140945855</c:v>
                </c:pt>
                <c:pt idx="12">
                  <c:v>7.8681252824847814</c:v>
                </c:pt>
                <c:pt idx="13">
                  <c:v>8.2927948823258841</c:v>
                </c:pt>
                <c:pt idx="14">
                  <c:v>8.7401280663399881</c:v>
                </c:pt>
                <c:pt idx="15">
                  <c:v>9.1694021499465581</c:v>
                </c:pt>
                <c:pt idx="16">
                  <c:v>9.5950181055844812</c:v>
                </c:pt>
                <c:pt idx="17">
                  <c:v>10.022919361298742</c:v>
                </c:pt>
                <c:pt idx="18" formatCode="General">
                  <c:v>10.443179054123487</c:v>
                </c:pt>
                <c:pt idx="19" formatCode="General">
                  <c:v>10.862504563109454</c:v>
                </c:pt>
                <c:pt idx="20" formatCode="General">
                  <c:v>11.290389492068311</c:v>
                </c:pt>
                <c:pt idx="21" formatCode="General">
                  <c:v>11.721440296023689</c:v>
                </c:pt>
                <c:pt idx="22" formatCode="General">
                  <c:v>12.156914903652918</c:v>
                </c:pt>
                <c:pt idx="23" formatCode="General">
                  <c:v>12.593267437020247</c:v>
                </c:pt>
                <c:pt idx="24" formatCode="General">
                  <c:v>13.037560134873614</c:v>
                </c:pt>
                <c:pt idx="25" formatCode="General">
                  <c:v>13.476587127561645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29.880785800881405</c:v>
                </c:pt>
                <c:pt idx="1">
                  <c:v>12.511934815118931</c:v>
                </c:pt>
                <c:pt idx="2">
                  <c:v>23.692567314037611</c:v>
                </c:pt>
                <c:pt idx="3">
                  <c:v>21.674771905892207</c:v>
                </c:pt>
                <c:pt idx="4">
                  <c:v>19.540374765671235</c:v>
                </c:pt>
                <c:pt idx="5">
                  <c:v>22.806193659159341</c:v>
                </c:pt>
                <c:pt idx="6">
                  <c:v>7.6396337675645283</c:v>
                </c:pt>
                <c:pt idx="7">
                  <c:v>9.0328897579836376</c:v>
                </c:pt>
                <c:pt idx="8">
                  <c:v>4.4444232941510675</c:v>
                </c:pt>
                <c:pt idx="9">
                  <c:v>7.5269975158661087</c:v>
                </c:pt>
                <c:pt idx="10">
                  <c:v>27.483441028271098</c:v>
                </c:pt>
                <c:pt idx="11">
                  <c:v>49.13839945665805</c:v>
                </c:pt>
                <c:pt idx="12">
                  <c:v>10.999553279205751</c:v>
                </c:pt>
                <c:pt idx="13">
                  <c:v>4.3313158907234133</c:v>
                </c:pt>
                <c:pt idx="14">
                  <c:v>28.622677836919465</c:v>
                </c:pt>
                <c:pt idx="15">
                  <c:v>18.67563056886091</c:v>
                </c:pt>
                <c:pt idx="16">
                  <c:v>9.6691034984265638</c:v>
                </c:pt>
                <c:pt idx="17">
                  <c:v>38.549226321705426</c:v>
                </c:pt>
                <c:pt idx="18">
                  <c:v>11.482295485656088</c:v>
                </c:pt>
                <c:pt idx="19">
                  <c:v>0.44667082132503066</c:v>
                </c:pt>
                <c:pt idx="20">
                  <c:v>34.223800198352485</c:v>
                </c:pt>
                <c:pt idx="21">
                  <c:v>9.0886906437377402</c:v>
                </c:pt>
                <c:pt idx="22">
                  <c:v>23.01767694669358</c:v>
                </c:pt>
                <c:pt idx="23">
                  <c:v>24.123007113083549</c:v>
                </c:pt>
                <c:pt idx="24">
                  <c:v>11.487443580203085</c:v>
                </c:pt>
                <c:pt idx="25">
                  <c:v>45.472494733851811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34.557349518918279</c:v>
                </c:pt>
                <c:pt idx="1">
                  <c:v>13.243017973457505</c:v>
                </c:pt>
                <c:pt idx="2">
                  <c:v>26.67415223973487</c:v>
                </c:pt>
                <c:pt idx="3">
                  <c:v>26.885303796114776</c:v>
                </c:pt>
                <c:pt idx="4">
                  <c:v>22.026617843508607</c:v>
                </c:pt>
                <c:pt idx="5">
                  <c:v>27.957759360330201</c:v>
                </c:pt>
                <c:pt idx="6">
                  <c:v>8.7119007645620972</c:v>
                </c:pt>
                <c:pt idx="7">
                  <c:v>11.001883705458065</c:v>
                </c:pt>
                <c:pt idx="8">
                  <c:v>4.6873216411379666</c:v>
                </c:pt>
                <c:pt idx="9">
                  <c:v>7.6956038424600592</c:v>
                </c:pt>
                <c:pt idx="10">
                  <c:v>28.718892057032409</c:v>
                </c:pt>
                <c:pt idx="11">
                  <c:v>47.19806700974938</c:v>
                </c:pt>
                <c:pt idx="12">
                  <c:v>9.2803332734652102</c:v>
                </c:pt>
                <c:pt idx="13">
                  <c:v>3.1931450848658716</c:v>
                </c:pt>
                <c:pt idx="14">
                  <c:v>23.236826282247673</c:v>
                </c:pt>
                <c:pt idx="15">
                  <c:v>17.473473402618112</c:v>
                </c:pt>
                <c:pt idx="16">
                  <c:v>8.3294023293213026</c:v>
                </c:pt>
                <c:pt idx="17">
                  <c:v>39.709013980070296</c:v>
                </c:pt>
                <c:pt idx="18">
                  <c:v>9.1820078898329758</c:v>
                </c:pt>
                <c:pt idx="19">
                  <c:v>0.44693455623107448</c:v>
                </c:pt>
                <c:pt idx="20">
                  <c:v>30.25093913476638</c:v>
                </c:pt>
                <c:pt idx="21">
                  <c:v>9.088846806026746</c:v>
                </c:pt>
                <c:pt idx="22">
                  <c:v>18.382917992462492</c:v>
                </c:pt>
                <c:pt idx="23">
                  <c:v>21.975456313535553</c:v>
                </c:pt>
                <c:pt idx="24">
                  <c:v>8.59789452449556</c:v>
                </c:pt>
                <c:pt idx="25">
                  <c:v>37.688938677596269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33.924972676339749</c:v>
                </c:pt>
                <c:pt idx="1">
                  <c:v>15.301206610194454</c:v>
                </c:pt>
                <c:pt idx="2">
                  <c:v>36.460147888250177</c:v>
                </c:pt>
                <c:pt idx="3">
                  <c:v>28.579623063913772</c:v>
                </c:pt>
                <c:pt idx="4">
                  <c:v>24.165356288680911</c:v>
                </c:pt>
                <c:pt idx="5">
                  <c:v>32.53409025770577</c:v>
                </c:pt>
                <c:pt idx="6">
                  <c:v>8.4283160725445487</c:v>
                </c:pt>
                <c:pt idx="7">
                  <c:v>21.055821572998454</c:v>
                </c:pt>
                <c:pt idx="8">
                  <c:v>4.4519253372123764</c:v>
                </c:pt>
                <c:pt idx="9">
                  <c:v>7.2418470917099587</c:v>
                </c:pt>
                <c:pt idx="10">
                  <c:v>30.332034577933754</c:v>
                </c:pt>
                <c:pt idx="11">
                  <c:v>48.119806641230511</c:v>
                </c:pt>
                <c:pt idx="12">
                  <c:v>5.4074642547867375</c:v>
                </c:pt>
                <c:pt idx="13">
                  <c:v>3.5350171502669578</c:v>
                </c:pt>
                <c:pt idx="14">
                  <c:v>20.841134342227381</c:v>
                </c:pt>
                <c:pt idx="15">
                  <c:v>14.401581227548823</c:v>
                </c:pt>
                <c:pt idx="16">
                  <c:v>7.9851910077103829</c:v>
                </c:pt>
                <c:pt idx="17">
                  <c:v>45.131434884626096</c:v>
                </c:pt>
                <c:pt idx="18">
                  <c:v>8.4132106883947344</c:v>
                </c:pt>
                <c:pt idx="19">
                  <c:v>0.37504575772625592</c:v>
                </c:pt>
                <c:pt idx="20">
                  <c:v>27.813348952284226</c:v>
                </c:pt>
                <c:pt idx="21">
                  <c:v>11.267733851765355</c:v>
                </c:pt>
                <c:pt idx="22">
                  <c:v>17.514325366127888</c:v>
                </c:pt>
                <c:pt idx="23">
                  <c:v>22.68541236648149</c:v>
                </c:pt>
                <c:pt idx="24">
                  <c:v>16.496787208058887</c:v>
                </c:pt>
                <c:pt idx="25">
                  <c:v>29.481164863279925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4.6765637180368742</c:v>
                </c:pt>
                <c:pt idx="1">
                  <c:v>0.73108315833857418</c:v>
                </c:pt>
                <c:pt idx="2">
                  <c:v>2.9815849256972591</c:v>
                </c:pt>
                <c:pt idx="3">
                  <c:v>5.210531890222569</c:v>
                </c:pt>
                <c:pt idx="4">
                  <c:v>2.4862430778373721</c:v>
                </c:pt>
                <c:pt idx="5">
                  <c:v>5.1515657011708598</c:v>
                </c:pt>
                <c:pt idx="6">
                  <c:v>1.0722669969975689</c:v>
                </c:pt>
                <c:pt idx="7">
                  <c:v>1.9689939474744271</c:v>
                </c:pt>
                <c:pt idx="8">
                  <c:v>0.24289834698689905</c:v>
                </c:pt>
                <c:pt idx="9">
                  <c:v>0.16860632659395058</c:v>
                </c:pt>
                <c:pt idx="10">
                  <c:v>1.235451028761311</c:v>
                </c:pt>
                <c:pt idx="11">
                  <c:v>-1.9403324469086698</c:v>
                </c:pt>
                <c:pt idx="12">
                  <c:v>-1.7192200057405405</c:v>
                </c:pt>
                <c:pt idx="13">
                  <c:v>-1.1381708058575417</c:v>
                </c:pt>
                <c:pt idx="14">
                  <c:v>-5.3858515546717918</c:v>
                </c:pt>
                <c:pt idx="15">
                  <c:v>-1.2021571662427988</c:v>
                </c:pt>
                <c:pt idx="16">
                  <c:v>-1.3397011691052612</c:v>
                </c:pt>
                <c:pt idx="17">
                  <c:v>1.1597876583648699</c:v>
                </c:pt>
                <c:pt idx="18">
                  <c:v>-2.3002875958231126</c:v>
                </c:pt>
                <c:pt idx="19">
                  <c:v>2.63734906043811E-4</c:v>
                </c:pt>
                <c:pt idx="20">
                  <c:v>-3.9728610635861052</c:v>
                </c:pt>
                <c:pt idx="21">
                  <c:v>1.5616228900583451E-4</c:v>
                </c:pt>
                <c:pt idx="22">
                  <c:v>-4.6347589542310885</c:v>
                </c:pt>
                <c:pt idx="23">
                  <c:v>-2.1475507995479965</c:v>
                </c:pt>
                <c:pt idx="24">
                  <c:v>-2.8895490557075245</c:v>
                </c:pt>
                <c:pt idx="25">
                  <c:v>-7.7835560562555415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-0.63237684257853033</c:v>
                </c:pt>
                <c:pt idx="1">
                  <c:v>2.0581886367369489</c:v>
                </c:pt>
                <c:pt idx="2">
                  <c:v>9.785995648515307</c:v>
                </c:pt>
                <c:pt idx="3">
                  <c:v>1.6943192677989956</c:v>
                </c:pt>
                <c:pt idx="4">
                  <c:v>2.1387384451723044</c:v>
                </c:pt>
                <c:pt idx="5">
                  <c:v>4.5763308973755699</c:v>
                </c:pt>
                <c:pt idx="6">
                  <c:v>-0.28358469201754843</c:v>
                </c:pt>
                <c:pt idx="7">
                  <c:v>10.053937867540389</c:v>
                </c:pt>
                <c:pt idx="8">
                  <c:v>-0.23539630392559019</c:v>
                </c:pt>
                <c:pt idx="9">
                  <c:v>-0.45375675075010058</c:v>
                </c:pt>
                <c:pt idx="10">
                  <c:v>1.613142520901345</c:v>
                </c:pt>
                <c:pt idx="11">
                  <c:v>0.92173963148113103</c:v>
                </c:pt>
                <c:pt idx="12">
                  <c:v>-3.8728690186784727</c:v>
                </c:pt>
                <c:pt idx="13">
                  <c:v>0.34187206540108628</c:v>
                </c:pt>
                <c:pt idx="14">
                  <c:v>-2.3956919400202921</c:v>
                </c:pt>
                <c:pt idx="15">
                  <c:v>-3.0718921750692889</c:v>
                </c:pt>
                <c:pt idx="16">
                  <c:v>-0.34421132161091972</c:v>
                </c:pt>
                <c:pt idx="17">
                  <c:v>5.4224209045557998</c:v>
                </c:pt>
                <c:pt idx="18">
                  <c:v>-0.76879720143824137</c:v>
                </c:pt>
                <c:pt idx="19">
                  <c:v>-7.1888798504818552E-2</c:v>
                </c:pt>
                <c:pt idx="20">
                  <c:v>-2.437590182482154</c:v>
                </c:pt>
                <c:pt idx="21">
                  <c:v>2.1788870457386089</c:v>
                </c:pt>
                <c:pt idx="22">
                  <c:v>-0.86859262633460332</c:v>
                </c:pt>
                <c:pt idx="23">
                  <c:v>0.70995605294593744</c:v>
                </c:pt>
                <c:pt idx="24">
                  <c:v>7.8988926835633269</c:v>
                </c:pt>
                <c:pt idx="25">
                  <c:v>-8.2077738143163437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5.9104097619839706</c:v>
                </c:pt>
                <c:pt idx="1">
                  <c:v>6.9644835525859454</c:v>
                </c:pt>
                <c:pt idx="2">
                  <c:v>6.4997342006689927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2.4748566575650321</c:v>
                </c:pt>
                <c:pt idx="1">
                  <c:v>2.6689194092345967</c:v>
                </c:pt>
                <c:pt idx="2">
                  <c:v>2.9315801331549864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1.511117087036709</c:v>
                </c:pt>
                <c:pt idx="1">
                  <c:v>1.7557448829615236</c:v>
                </c:pt>
                <c:pt idx="2">
                  <c:v>1.6147931717855848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1.7867026710835934</c:v>
                </c:pt>
                <c:pt idx="1">
                  <c:v>2.2172544822101985</c:v>
                </c:pt>
                <c:pt idx="2">
                  <c:v>4.0341150723063137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0.87910548936650024</c:v>
                </c:pt>
                <c:pt idx="1">
                  <c:v>0.9446550424104222</c:v>
                </c:pt>
                <c:pt idx="2">
                  <c:v>0.85295076429892458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1.4888376728998831</c:v>
                </c:pt>
                <c:pt idx="1">
                  <c:v>1.5509264204041293</c:v>
                </c:pt>
                <c:pt idx="2">
                  <c:v>1.3874758770500211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5.4362157417430685</c:v>
                </c:pt>
                <c:pt idx="1">
                  <c:v>5.787835414582287</c:v>
                </c:pt>
                <c:pt idx="2">
                  <c:v>5.8113580341825504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9.7195595113275992</c:v>
                </c:pt>
                <c:pt idx="1">
                  <c:v>9.5120188897385738</c:v>
                </c:pt>
                <c:pt idx="2">
                  <c:v>9.2193428109587501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2.1757080791684795</c:v>
                </c:pt>
                <c:pt idx="1">
                  <c:v>1.8703034042058586</c:v>
                </c:pt>
                <c:pt idx="2">
                  <c:v>1.036023836807539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7.6250244918932619</c:v>
                </c:pt>
                <c:pt idx="1">
                  <c:v>8.0027194968238895</c:v>
                </c:pt>
                <c:pt idx="2">
                  <c:v>8.646796377509105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2.2711943313888474</c:v>
                </c:pt>
                <c:pt idx="1">
                  <c:v>1.8504874887308156</c:v>
                </c:pt>
                <c:pt idx="2">
                  <c:v>1.6118991095586381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8.8351343915292396E-2</c:v>
                </c:pt>
                <c:pt idx="1">
                  <c:v>9.0072543446933023E-2</c:v>
                </c:pt>
                <c:pt idx="2">
                  <c:v>7.1855554949622202E-2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6.769456604403115</c:v>
                </c:pt>
                <c:pt idx="1">
                  <c:v>6.096595108922398</c:v>
                </c:pt>
                <c:pt idx="2">
                  <c:v>5.328799440607467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1.7977400682285729</c:v>
                </c:pt>
                <c:pt idx="1">
                  <c:v>1.8317123556566086</c:v>
                </c:pt>
                <c:pt idx="2">
                  <c:v>2.158801298944975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4.5528890515295011</c:v>
                </c:pt>
                <c:pt idx="1">
                  <c:v>3.7047844174783462</c:v>
                </c:pt>
                <c:pt idx="2">
                  <c:v>3.3555947316432215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4.7715230007562957</c:v>
                </c:pt>
                <c:pt idx="1">
                  <c:v>4.428803313529702</c:v>
                </c:pt>
                <c:pt idx="2">
                  <c:v>4.3463307110497489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4.6863821477954444</c:v>
                </c:pt>
                <c:pt idx="1">
                  <c:v>5.3757506619860154</c:v>
                </c:pt>
                <c:pt idx="2">
                  <c:v>6.9854520577399475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4.287262869023424</c:v>
                </c:pt>
                <c:pt idx="1">
                  <c:v>5.4183048960920122</c:v>
                </c:pt>
                <c:pt idx="2">
                  <c:v>5.4756109973318567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3.8650798053792075</c:v>
                </c:pt>
                <c:pt idx="1">
                  <c:v>4.4391141052710479</c:v>
                </c:pt>
                <c:pt idx="2">
                  <c:v>4.6298752909662575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4.5110577256912778</c:v>
                </c:pt>
                <c:pt idx="1">
                  <c:v>5.6344412387756044</c:v>
                </c:pt>
                <c:pt idx="2">
                  <c:v>6.2332530420324375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0.85673288157009675</c:v>
                </c:pt>
                <c:pt idx="1">
                  <c:v>0.6435275486736789</c:v>
                </c:pt>
                <c:pt idx="2">
                  <c:v>0.6772790089103351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5.6615564138363759</c:v>
                </c:pt>
                <c:pt idx="1">
                  <c:v>4.6830123464305675</c:v>
                </c:pt>
                <c:pt idx="2">
                  <c:v>3.9929828376659935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3.6940336830815816</c:v>
                </c:pt>
                <c:pt idx="1">
                  <c:v>3.5215003411202326</c:v>
                </c:pt>
                <c:pt idx="2">
                  <c:v>2.7592196150446848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1.9125455430642653</c:v>
                </c:pt>
                <c:pt idx="1">
                  <c:v>1.678658413709418</c:v>
                </c:pt>
                <c:pt idx="2">
                  <c:v>1.5298942046867838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2.2722126228243189</c:v>
                </c:pt>
                <c:pt idx="1">
                  <c:v>1.7327687405521968</c:v>
                </c:pt>
                <c:pt idx="2">
                  <c:v>3.1606431356733475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8.9944447434442854</c:v>
                </c:pt>
                <c:pt idx="1">
                  <c:v>7.5956054844670229</c:v>
                </c:pt>
                <c:pt idx="2">
                  <c:v>5.6483386844718861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-0.30888113075301504</c:v>
                </c:pt>
                <c:pt idx="1">
                  <c:v>-0.15863657338866233</c:v>
                </c:pt>
                <c:pt idx="2">
                  <c:v>-0.25870313674354861</c:v>
                </c:pt>
                <c:pt idx="3">
                  <c:v>4.5817349046127376</c:v>
                </c:pt>
                <c:pt idx="4">
                  <c:v>-5.4699233712994157</c:v>
                </c:pt>
                <c:pt idx="5">
                  <c:v>-2.9511293871973407</c:v>
                </c:pt>
                <c:pt idx="6">
                  <c:v>10.694342641748491</c:v>
                </c:pt>
                <c:pt idx="7">
                  <c:v>18.195384258862177</c:v>
                </c:pt>
                <c:pt idx="8">
                  <c:v>1.4258117941584203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22.489106732582641</c:v>
                </c:pt>
                <c:pt idx="1">
                  <c:v>19.309786239425978</c:v>
                </c:pt>
                <c:pt idx="2">
                  <c:v>17.552191640652445</c:v>
                </c:pt>
                <c:pt idx="3">
                  <c:v>33.236917556178</c:v>
                </c:pt>
                <c:pt idx="4">
                  <c:v>14.891703136376162</c:v>
                </c:pt>
                <c:pt idx="5">
                  <c:v>25.282095390748907</c:v>
                </c:pt>
                <c:pt idx="6">
                  <c:v>42.42460793045494</c:v>
                </c:pt>
                <c:pt idx="7">
                  <c:v>70.294767484452763</c:v>
                </c:pt>
                <c:pt idx="8">
                  <c:v>25.98703749599521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-0.63237684257853033</c:v>
                </c:pt>
                <c:pt idx="1">
                  <c:v>2.0581886367369489</c:v>
                </c:pt>
                <c:pt idx="2">
                  <c:v>9.785995648515307</c:v>
                </c:pt>
                <c:pt idx="3">
                  <c:v>1.6943192677989956</c:v>
                </c:pt>
                <c:pt idx="4">
                  <c:v>2.1387384451723044</c:v>
                </c:pt>
                <c:pt idx="5">
                  <c:v>4.5763308973755699</c:v>
                </c:pt>
                <c:pt idx="6">
                  <c:v>-0.28358469201754843</c:v>
                </c:pt>
                <c:pt idx="7">
                  <c:v>10.053937867540389</c:v>
                </c:pt>
                <c:pt idx="8">
                  <c:v>-0.23539630392559019</c:v>
                </c:pt>
                <c:pt idx="9">
                  <c:v>-0.45375675075010058</c:v>
                </c:pt>
                <c:pt idx="10">
                  <c:v>1.613142520901345</c:v>
                </c:pt>
                <c:pt idx="11">
                  <c:v>0.92173963148113103</c:v>
                </c:pt>
                <c:pt idx="12">
                  <c:v>-3.8728690186784727</c:v>
                </c:pt>
                <c:pt idx="13">
                  <c:v>0.34187206540108628</c:v>
                </c:pt>
                <c:pt idx="14">
                  <c:v>-2.3956919400202921</c:v>
                </c:pt>
                <c:pt idx="15">
                  <c:v>-3.0718921750692889</c:v>
                </c:pt>
                <c:pt idx="16">
                  <c:v>-0.34421132161091972</c:v>
                </c:pt>
                <c:pt idx="17">
                  <c:v>5.4224209045557998</c:v>
                </c:pt>
                <c:pt idx="18">
                  <c:v>-0.76879720143824137</c:v>
                </c:pt>
                <c:pt idx="19">
                  <c:v>-7.1888798504818552E-2</c:v>
                </c:pt>
                <c:pt idx="20">
                  <c:v>-2.437590182482154</c:v>
                </c:pt>
                <c:pt idx="21">
                  <c:v>2.1788870457386089</c:v>
                </c:pt>
                <c:pt idx="22">
                  <c:v>-0.86859262633460332</c:v>
                </c:pt>
                <c:pt idx="23">
                  <c:v>0.70995605294593744</c:v>
                </c:pt>
                <c:pt idx="24">
                  <c:v>7.8988926835633269</c:v>
                </c:pt>
                <c:pt idx="25">
                  <c:v>-8.2077738143163437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15.857589617225866</c:v>
                </c:pt>
                <c:pt idx="1">
                  <c:v>10.129447878769344</c:v>
                </c:pt>
                <c:pt idx="2">
                  <c:v>21.814704094914461</c:v>
                </c:pt>
                <c:pt idx="3">
                  <c:v>16.060853948588878</c:v>
                </c:pt>
                <c:pt idx="4">
                  <c:v>13.618970881797207</c:v>
                </c:pt>
                <c:pt idx="5">
                  <c:v>18.800238559152206</c:v>
                </c:pt>
                <c:pt idx="6">
                  <c:v>2.9672614568897928</c:v>
                </c:pt>
                <c:pt idx="7">
                  <c:v>20.529550127106315</c:v>
                </c:pt>
                <c:pt idx="8">
                  <c:v>1.213828403503918</c:v>
                </c:pt>
                <c:pt idx="9">
                  <c:v>2.7354455652122951</c:v>
                </c:pt>
                <c:pt idx="10">
                  <c:v>14.978522377742626</c:v>
                </c:pt>
                <c:pt idx="11">
                  <c:v>25.159164799661895</c:v>
                </c:pt>
                <c:pt idx="12">
                  <c:v>0.12293059108701154</c:v>
                </c:pt>
                <c:pt idx="13">
                  <c:v>2.1369310777218109</c:v>
                </c:pt>
                <c:pt idx="14">
                  <c:v>5.8932992847850389</c:v>
                </c:pt>
                <c:pt idx="15">
                  <c:v>3.7038174570972782</c:v>
                </c:pt>
                <c:pt idx="16">
                  <c:v>3.1576553167720327</c:v>
                </c:pt>
                <c:pt idx="17">
                  <c:v>29.540835329875819</c:v>
                </c:pt>
                <c:pt idx="18">
                  <c:v>3.5882185505127211</c:v>
                </c:pt>
                <c:pt idx="19">
                  <c:v>0.10786367578946029</c:v>
                </c:pt>
                <c:pt idx="20">
                  <c:v>10.676502024010755</c:v>
                </c:pt>
                <c:pt idx="21">
                  <c:v>6.8756896166416945</c:v>
                </c:pt>
                <c:pt idx="22">
                  <c:v>6.5689808694962144</c:v>
                </c:pt>
                <c:pt idx="23">
                  <c:v>12.74080536992976</c:v>
                </c:pt>
                <c:pt idx="24">
                  <c:v>14.948853544263731</c:v>
                </c:pt>
                <c:pt idx="25">
                  <c:v>7.5402531883189106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1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1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1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1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87350"/>
          <a:ext cx="11585575" cy="4346575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/>
  <cols>
    <col min="1" max="1" width="16.42578125" customWidth="1"/>
  </cols>
  <sheetData>
    <row r="1" spans="1:10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>
      <c r="A2" t="s">
        <v>0</v>
      </c>
      <c r="B2" s="65" t="s">
        <v>1</v>
      </c>
      <c r="C2" t="s">
        <v>2</v>
      </c>
      <c r="D2" t="s">
        <v>3</v>
      </c>
    </row>
    <row r="3" spans="1:10">
      <c r="B3" s="65"/>
    </row>
    <row r="11" spans="1:10">
      <c r="A11" t="s">
        <v>4</v>
      </c>
      <c r="B11" s="65" t="s">
        <v>1</v>
      </c>
    </row>
    <row r="12" spans="1:10">
      <c r="B12" s="65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zoomScale="75" zoomScaleNormal="75" workbookViewId="0"/>
  </sheetViews>
  <sheetFormatPr defaultColWidth="10.42578125" defaultRowHeight="12.75"/>
  <cols>
    <col min="1" max="13" width="11.5703125" style="191" customWidth="1"/>
    <col min="14" max="256" width="10.42578125" style="191"/>
    <col min="257" max="269" width="11.5703125" style="191" customWidth="1"/>
    <col min="270" max="512" width="10.42578125" style="191"/>
    <col min="513" max="525" width="11.5703125" style="191" customWidth="1"/>
    <col min="526" max="768" width="10.42578125" style="191"/>
    <col min="769" max="781" width="11.5703125" style="191" customWidth="1"/>
    <col min="782" max="1024" width="10.42578125" style="191"/>
    <col min="1025" max="1037" width="11.5703125" style="191" customWidth="1"/>
    <col min="1038" max="1280" width="10.42578125" style="191"/>
    <col min="1281" max="1293" width="11.5703125" style="191" customWidth="1"/>
    <col min="1294" max="1536" width="10.42578125" style="191"/>
    <col min="1537" max="1549" width="11.5703125" style="191" customWidth="1"/>
    <col min="1550" max="1792" width="10.42578125" style="191"/>
    <col min="1793" max="1805" width="11.5703125" style="191" customWidth="1"/>
    <col min="1806" max="2048" width="10.42578125" style="191"/>
    <col min="2049" max="2061" width="11.5703125" style="191" customWidth="1"/>
    <col min="2062" max="2304" width="10.42578125" style="191"/>
    <col min="2305" max="2317" width="11.5703125" style="191" customWidth="1"/>
    <col min="2318" max="2560" width="10.42578125" style="191"/>
    <col min="2561" max="2573" width="11.5703125" style="191" customWidth="1"/>
    <col min="2574" max="2816" width="10.42578125" style="191"/>
    <col min="2817" max="2829" width="11.5703125" style="191" customWidth="1"/>
    <col min="2830" max="3072" width="10.42578125" style="191"/>
    <col min="3073" max="3085" width="11.5703125" style="191" customWidth="1"/>
    <col min="3086" max="3328" width="10.42578125" style="191"/>
    <col min="3329" max="3341" width="11.5703125" style="191" customWidth="1"/>
    <col min="3342" max="3584" width="10.42578125" style="191"/>
    <col min="3585" max="3597" width="11.5703125" style="191" customWidth="1"/>
    <col min="3598" max="3840" width="10.42578125" style="191"/>
    <col min="3841" max="3853" width="11.5703125" style="191" customWidth="1"/>
    <col min="3854" max="4096" width="10.42578125" style="191"/>
    <col min="4097" max="4109" width="11.5703125" style="191" customWidth="1"/>
    <col min="4110" max="4352" width="10.42578125" style="191"/>
    <col min="4353" max="4365" width="11.5703125" style="191" customWidth="1"/>
    <col min="4366" max="4608" width="10.42578125" style="191"/>
    <col min="4609" max="4621" width="11.5703125" style="191" customWidth="1"/>
    <col min="4622" max="4864" width="10.42578125" style="191"/>
    <col min="4865" max="4877" width="11.5703125" style="191" customWidth="1"/>
    <col min="4878" max="5120" width="10.42578125" style="191"/>
    <col min="5121" max="5133" width="11.5703125" style="191" customWidth="1"/>
    <col min="5134" max="5376" width="10.42578125" style="191"/>
    <col min="5377" max="5389" width="11.5703125" style="191" customWidth="1"/>
    <col min="5390" max="5632" width="10.42578125" style="191"/>
    <col min="5633" max="5645" width="11.5703125" style="191" customWidth="1"/>
    <col min="5646" max="5888" width="10.42578125" style="191"/>
    <col min="5889" max="5901" width="11.5703125" style="191" customWidth="1"/>
    <col min="5902" max="6144" width="10.42578125" style="191"/>
    <col min="6145" max="6157" width="11.5703125" style="191" customWidth="1"/>
    <col min="6158" max="6400" width="10.42578125" style="191"/>
    <col min="6401" max="6413" width="11.5703125" style="191" customWidth="1"/>
    <col min="6414" max="6656" width="10.42578125" style="191"/>
    <col min="6657" max="6669" width="11.5703125" style="191" customWidth="1"/>
    <col min="6670" max="6912" width="10.42578125" style="191"/>
    <col min="6913" max="6925" width="11.5703125" style="191" customWidth="1"/>
    <col min="6926" max="7168" width="10.42578125" style="191"/>
    <col min="7169" max="7181" width="11.5703125" style="191" customWidth="1"/>
    <col min="7182" max="7424" width="10.42578125" style="191"/>
    <col min="7425" max="7437" width="11.5703125" style="191" customWidth="1"/>
    <col min="7438" max="7680" width="10.42578125" style="191"/>
    <col min="7681" max="7693" width="11.5703125" style="191" customWidth="1"/>
    <col min="7694" max="7936" width="10.42578125" style="191"/>
    <col min="7937" max="7949" width="11.5703125" style="191" customWidth="1"/>
    <col min="7950" max="8192" width="10.42578125" style="191"/>
    <col min="8193" max="8205" width="11.5703125" style="191" customWidth="1"/>
    <col min="8206" max="8448" width="10.42578125" style="191"/>
    <col min="8449" max="8461" width="11.5703125" style="191" customWidth="1"/>
    <col min="8462" max="8704" width="10.42578125" style="191"/>
    <col min="8705" max="8717" width="11.5703125" style="191" customWidth="1"/>
    <col min="8718" max="8960" width="10.42578125" style="191"/>
    <col min="8961" max="8973" width="11.5703125" style="191" customWidth="1"/>
    <col min="8974" max="9216" width="10.42578125" style="191"/>
    <col min="9217" max="9229" width="11.5703125" style="191" customWidth="1"/>
    <col min="9230" max="9472" width="10.42578125" style="191"/>
    <col min="9473" max="9485" width="11.5703125" style="191" customWidth="1"/>
    <col min="9486" max="9728" width="10.42578125" style="191"/>
    <col min="9729" max="9741" width="11.5703125" style="191" customWidth="1"/>
    <col min="9742" max="9984" width="10.42578125" style="191"/>
    <col min="9985" max="9997" width="11.5703125" style="191" customWidth="1"/>
    <col min="9998" max="10240" width="10.42578125" style="191"/>
    <col min="10241" max="10253" width="11.5703125" style="191" customWidth="1"/>
    <col min="10254" max="10496" width="10.42578125" style="191"/>
    <col min="10497" max="10509" width="11.5703125" style="191" customWidth="1"/>
    <col min="10510" max="10752" width="10.42578125" style="191"/>
    <col min="10753" max="10765" width="11.5703125" style="191" customWidth="1"/>
    <col min="10766" max="11008" width="10.42578125" style="191"/>
    <col min="11009" max="11021" width="11.5703125" style="191" customWidth="1"/>
    <col min="11022" max="11264" width="10.42578125" style="191"/>
    <col min="11265" max="11277" width="11.5703125" style="191" customWidth="1"/>
    <col min="11278" max="11520" width="10.42578125" style="191"/>
    <col min="11521" max="11533" width="11.5703125" style="191" customWidth="1"/>
    <col min="11534" max="11776" width="10.42578125" style="191"/>
    <col min="11777" max="11789" width="11.5703125" style="191" customWidth="1"/>
    <col min="11790" max="12032" width="10.42578125" style="191"/>
    <col min="12033" max="12045" width="11.5703125" style="191" customWidth="1"/>
    <col min="12046" max="12288" width="10.42578125" style="191"/>
    <col min="12289" max="12301" width="11.5703125" style="191" customWidth="1"/>
    <col min="12302" max="12544" width="10.42578125" style="191"/>
    <col min="12545" max="12557" width="11.5703125" style="191" customWidth="1"/>
    <col min="12558" max="12800" width="10.42578125" style="191"/>
    <col min="12801" max="12813" width="11.5703125" style="191" customWidth="1"/>
    <col min="12814" max="13056" width="10.42578125" style="191"/>
    <col min="13057" max="13069" width="11.5703125" style="191" customWidth="1"/>
    <col min="13070" max="13312" width="10.42578125" style="191"/>
    <col min="13313" max="13325" width="11.5703125" style="191" customWidth="1"/>
    <col min="13326" max="13568" width="10.42578125" style="191"/>
    <col min="13569" max="13581" width="11.5703125" style="191" customWidth="1"/>
    <col min="13582" max="13824" width="10.42578125" style="191"/>
    <col min="13825" max="13837" width="11.5703125" style="191" customWidth="1"/>
    <col min="13838" max="14080" width="10.42578125" style="191"/>
    <col min="14081" max="14093" width="11.5703125" style="191" customWidth="1"/>
    <col min="14094" max="14336" width="10.42578125" style="191"/>
    <col min="14337" max="14349" width="11.5703125" style="191" customWidth="1"/>
    <col min="14350" max="14592" width="10.42578125" style="191"/>
    <col min="14593" max="14605" width="11.5703125" style="191" customWidth="1"/>
    <col min="14606" max="14848" width="10.42578125" style="191"/>
    <col min="14849" max="14861" width="11.5703125" style="191" customWidth="1"/>
    <col min="14862" max="15104" width="10.42578125" style="191"/>
    <col min="15105" max="15117" width="11.5703125" style="191" customWidth="1"/>
    <col min="15118" max="15360" width="10.42578125" style="191"/>
    <col min="15361" max="15373" width="11.5703125" style="191" customWidth="1"/>
    <col min="15374" max="15616" width="10.42578125" style="191"/>
    <col min="15617" max="15629" width="11.5703125" style="191" customWidth="1"/>
    <col min="15630" max="15872" width="10.42578125" style="191"/>
    <col min="15873" max="15885" width="11.5703125" style="191" customWidth="1"/>
    <col min="15886" max="16128" width="10.42578125" style="191"/>
    <col min="16129" max="16141" width="11.5703125" style="191" customWidth="1"/>
    <col min="16142" max="16384" width="10.42578125" style="191"/>
  </cols>
  <sheetData>
    <row r="1" spans="1:14">
      <c r="A1" s="193"/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</row>
    <row r="2" spans="1:14" ht="18.75" customHeight="1">
      <c r="A2" s="193"/>
      <c r="B2" s="193"/>
      <c r="C2" s="193"/>
      <c r="D2" s="193"/>
      <c r="E2" s="193"/>
      <c r="F2" s="340" t="s">
        <v>5</v>
      </c>
      <c r="G2" s="340"/>
      <c r="H2" s="340"/>
      <c r="I2" s="193"/>
      <c r="J2" s="193"/>
      <c r="K2" s="193"/>
      <c r="L2" s="193"/>
      <c r="M2" s="193"/>
      <c r="N2" s="193"/>
    </row>
    <row r="3" spans="1:14" ht="18.75" customHeight="1">
      <c r="A3" s="193"/>
      <c r="B3" s="193"/>
      <c r="C3" s="341" t="s">
        <v>6</v>
      </c>
      <c r="D3" s="341"/>
      <c r="E3" s="341"/>
      <c r="F3" s="341"/>
      <c r="G3" s="341"/>
      <c r="H3" s="341"/>
      <c r="I3" s="341"/>
      <c r="J3" s="341"/>
      <c r="K3" s="341"/>
      <c r="L3" s="193"/>
      <c r="M3" s="193"/>
      <c r="N3" s="193"/>
    </row>
    <row r="4" spans="1:14" ht="18.75" customHeight="1">
      <c r="A4" s="193"/>
      <c r="B4" s="193"/>
      <c r="C4" s="341" t="s">
        <v>7</v>
      </c>
      <c r="D4" s="341"/>
      <c r="E4" s="341"/>
      <c r="F4" s="341"/>
      <c r="G4" s="341"/>
      <c r="H4" s="341"/>
      <c r="I4" s="341"/>
      <c r="J4" s="341"/>
      <c r="K4" s="341"/>
      <c r="L4" s="193"/>
      <c r="M4" s="193"/>
      <c r="N4" s="193"/>
    </row>
    <row r="5" spans="1:14" ht="18.75" customHeight="1">
      <c r="A5" s="193"/>
      <c r="B5" s="193"/>
      <c r="C5" s="193"/>
      <c r="D5" s="193"/>
      <c r="E5" s="193"/>
      <c r="F5" s="193"/>
      <c r="G5" s="327" t="s">
        <v>8</v>
      </c>
      <c r="H5" s="193"/>
      <c r="I5" s="193"/>
      <c r="J5" s="193"/>
      <c r="K5" s="193"/>
      <c r="L5" s="193"/>
      <c r="M5" s="193"/>
      <c r="N5" s="193"/>
    </row>
    <row r="6" spans="1:14" ht="12.75" customHeight="1">
      <c r="A6" s="193"/>
      <c r="B6" s="193"/>
      <c r="C6" s="193"/>
      <c r="D6" s="193"/>
      <c r="E6" s="193"/>
      <c r="F6" s="193"/>
      <c r="G6" s="193"/>
      <c r="H6" s="193"/>
      <c r="I6" s="193"/>
      <c r="J6" s="193"/>
      <c r="K6" s="193"/>
      <c r="L6" s="193"/>
      <c r="M6" s="193"/>
      <c r="N6" s="193"/>
    </row>
    <row r="7" spans="1:14" ht="19.5" customHeight="1">
      <c r="A7" s="193"/>
      <c r="B7" s="193"/>
      <c r="C7" s="342" t="s">
        <v>9</v>
      </c>
      <c r="D7" s="342"/>
      <c r="E7" s="342"/>
      <c r="F7" s="342"/>
      <c r="G7" s="342"/>
      <c r="H7" s="342"/>
      <c r="I7" s="342"/>
      <c r="J7" s="342"/>
      <c r="K7" s="342"/>
      <c r="L7" s="193"/>
      <c r="M7" s="193"/>
      <c r="N7" s="193"/>
    </row>
    <row r="8" spans="1:14" ht="18.75" customHeight="1">
      <c r="A8" s="193"/>
      <c r="B8" s="193"/>
      <c r="C8" s="343" t="s">
        <v>10</v>
      </c>
      <c r="D8" s="343"/>
      <c r="E8" s="343"/>
      <c r="F8" s="343"/>
      <c r="G8" s="343"/>
      <c r="H8" s="343"/>
      <c r="I8" s="343"/>
      <c r="J8" s="343"/>
      <c r="K8" s="343"/>
      <c r="L8" s="193"/>
      <c r="M8" s="193"/>
      <c r="N8" s="193"/>
    </row>
    <row r="9" spans="1:14" ht="18.75" customHeight="1">
      <c r="A9" s="193"/>
      <c r="B9" s="343" t="s">
        <v>11</v>
      </c>
      <c r="C9" s="343"/>
      <c r="D9" s="343"/>
      <c r="E9" s="343"/>
      <c r="F9" s="343"/>
      <c r="G9" s="343"/>
      <c r="H9" s="343"/>
      <c r="I9" s="343"/>
      <c r="J9" s="343"/>
      <c r="K9" s="343"/>
      <c r="L9" s="343"/>
      <c r="M9" s="326"/>
      <c r="N9" s="193"/>
    </row>
    <row r="10" spans="1:14" ht="18.75" customHeight="1">
      <c r="A10" s="193"/>
      <c r="B10" s="326"/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193"/>
    </row>
    <row r="11" spans="1:14">
      <c r="A11" s="193"/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</row>
    <row r="12" spans="1:14" ht="15.75">
      <c r="A12" s="193"/>
      <c r="B12" s="193"/>
      <c r="C12" s="193"/>
      <c r="D12" s="193"/>
      <c r="E12" s="193"/>
      <c r="F12" s="193"/>
      <c r="G12" s="194" t="s">
        <v>12</v>
      </c>
      <c r="H12" s="193"/>
      <c r="I12" s="193"/>
      <c r="J12" s="193"/>
      <c r="K12" s="193"/>
      <c r="L12" s="193"/>
      <c r="M12" s="193"/>
      <c r="N12" s="193"/>
    </row>
    <row r="13" spans="1:14">
      <c r="A13" s="193"/>
      <c r="B13" s="193"/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</row>
    <row r="14" spans="1:14" ht="13.5" thickBot="1">
      <c r="A14" s="193"/>
      <c r="B14" s="193"/>
      <c r="C14" s="193"/>
      <c r="D14" s="193"/>
      <c r="E14" s="193"/>
      <c r="F14" s="193"/>
      <c r="G14" s="193"/>
      <c r="H14" s="193"/>
      <c r="I14" s="193"/>
      <c r="J14" s="193"/>
      <c r="K14" s="193"/>
      <c r="L14" s="193"/>
      <c r="M14" s="193"/>
      <c r="N14" s="193"/>
    </row>
    <row r="15" spans="1:14" ht="15.75">
      <c r="A15" s="195"/>
      <c r="B15" s="196"/>
      <c r="C15" s="197"/>
      <c r="D15" s="197"/>
      <c r="E15" s="197"/>
      <c r="F15" s="197"/>
      <c r="G15" s="198" t="s">
        <v>13</v>
      </c>
      <c r="H15" s="197"/>
      <c r="I15" s="197"/>
      <c r="J15" s="197"/>
      <c r="K15" s="197"/>
      <c r="L15" s="199"/>
      <c r="M15" s="193"/>
      <c r="N15" s="193"/>
    </row>
    <row r="16" spans="1:14" ht="15">
      <c r="A16" s="195"/>
      <c r="B16" s="200"/>
      <c r="C16" s="193"/>
      <c r="D16" s="193"/>
      <c r="E16" s="193"/>
      <c r="F16" s="193"/>
      <c r="G16" s="201" t="s">
        <v>14</v>
      </c>
      <c r="H16" s="193"/>
      <c r="I16" s="193"/>
      <c r="J16" s="193"/>
      <c r="K16" s="193"/>
      <c r="L16" s="202"/>
      <c r="M16" s="193"/>
      <c r="N16" s="193"/>
    </row>
    <row r="17" spans="1:14" ht="15">
      <c r="A17" s="195"/>
      <c r="B17" s="200"/>
      <c r="C17" s="193"/>
      <c r="D17" s="193"/>
      <c r="E17" s="193"/>
      <c r="F17" s="193"/>
      <c r="G17" s="201" t="s">
        <v>15</v>
      </c>
      <c r="H17" s="193"/>
      <c r="I17" s="193"/>
      <c r="J17" s="193"/>
      <c r="K17" s="193"/>
      <c r="L17" s="202"/>
      <c r="M17" s="193"/>
      <c r="N17" s="193"/>
    </row>
    <row r="18" spans="1:14" ht="15">
      <c r="A18" s="195"/>
      <c r="B18" s="200"/>
      <c r="C18" s="193"/>
      <c r="D18" s="193"/>
      <c r="E18" s="193"/>
      <c r="F18" s="193"/>
      <c r="G18" s="201" t="s">
        <v>16</v>
      </c>
      <c r="H18" s="193"/>
      <c r="I18" s="193"/>
      <c r="J18" s="193"/>
      <c r="K18" s="193"/>
      <c r="L18" s="202"/>
      <c r="M18" s="193"/>
      <c r="N18" s="193"/>
    </row>
    <row r="19" spans="1:14" ht="15">
      <c r="A19" s="195"/>
      <c r="B19" s="200"/>
      <c r="C19" s="193"/>
      <c r="D19" s="193"/>
      <c r="E19" s="193"/>
      <c r="F19" s="193"/>
      <c r="G19" s="201"/>
      <c r="H19" s="193"/>
      <c r="I19" s="193"/>
      <c r="J19" s="193"/>
      <c r="K19" s="193"/>
      <c r="L19" s="202"/>
      <c r="M19" s="193"/>
      <c r="N19" s="193"/>
    </row>
    <row r="20" spans="1:14" ht="15">
      <c r="A20" s="195"/>
      <c r="B20" s="200"/>
      <c r="C20" s="193"/>
      <c r="D20" s="193"/>
      <c r="E20" s="193"/>
      <c r="F20" s="193"/>
      <c r="G20" s="201" t="s">
        <v>17</v>
      </c>
      <c r="H20" s="193"/>
      <c r="I20" s="193"/>
      <c r="J20" s="193"/>
      <c r="K20" s="193"/>
      <c r="L20" s="202"/>
      <c r="M20" s="193"/>
      <c r="N20" s="193"/>
    </row>
    <row r="21" spans="1:14" ht="15">
      <c r="A21" s="195"/>
      <c r="B21" s="200"/>
      <c r="C21" s="193"/>
      <c r="D21" s="193"/>
      <c r="E21" s="193"/>
      <c r="F21" s="193"/>
      <c r="G21" s="193"/>
      <c r="H21" s="193"/>
      <c r="I21" s="193"/>
      <c r="J21" s="193"/>
      <c r="K21" s="193"/>
      <c r="L21" s="202"/>
      <c r="M21" s="193"/>
      <c r="N21" s="193"/>
    </row>
    <row r="22" spans="1:14" ht="15">
      <c r="A22" s="195"/>
      <c r="B22" s="200"/>
      <c r="C22" s="193"/>
      <c r="D22" s="193"/>
      <c r="E22" s="193"/>
      <c r="F22" s="193"/>
      <c r="G22" s="328" t="s">
        <v>18</v>
      </c>
      <c r="H22" s="193"/>
      <c r="I22" s="193"/>
      <c r="J22" s="193"/>
      <c r="K22" s="193"/>
      <c r="L22" s="202"/>
      <c r="M22" s="193"/>
      <c r="N22" s="193"/>
    </row>
    <row r="23" spans="1:14" ht="15">
      <c r="A23" s="195"/>
      <c r="B23" s="200"/>
      <c r="C23" s="193"/>
      <c r="D23" s="193"/>
      <c r="E23" s="193"/>
      <c r="F23" s="193"/>
      <c r="G23" s="328" t="s">
        <v>19</v>
      </c>
      <c r="H23" s="193"/>
      <c r="I23" s="193"/>
      <c r="J23" s="193"/>
      <c r="K23" s="193"/>
      <c r="L23" s="202"/>
      <c r="M23" s="193"/>
      <c r="N23" s="193"/>
    </row>
    <row r="24" spans="1:14" ht="15">
      <c r="A24" s="195"/>
      <c r="B24" s="200"/>
      <c r="C24" s="193"/>
      <c r="D24" s="193"/>
      <c r="E24" s="193"/>
      <c r="F24" s="193"/>
      <c r="G24" s="328" t="s">
        <v>20</v>
      </c>
      <c r="H24" s="193"/>
      <c r="I24" s="193"/>
      <c r="J24" s="193"/>
      <c r="K24" s="193"/>
      <c r="L24" s="202"/>
      <c r="M24" s="193"/>
      <c r="N24" s="193"/>
    </row>
    <row r="25" spans="1:14" ht="15">
      <c r="A25" s="195"/>
      <c r="B25" s="200"/>
      <c r="C25" s="193"/>
      <c r="D25" s="193"/>
      <c r="E25" s="193"/>
      <c r="F25" s="193"/>
      <c r="G25" s="204"/>
      <c r="H25" s="193"/>
      <c r="I25" s="193"/>
      <c r="J25" s="193"/>
      <c r="K25" s="193"/>
      <c r="L25" s="202"/>
      <c r="M25" s="193"/>
      <c r="N25" s="193"/>
    </row>
    <row r="26" spans="1:14" ht="15">
      <c r="A26" s="195"/>
      <c r="B26" s="200"/>
      <c r="C26" s="193"/>
      <c r="D26" s="193"/>
      <c r="E26" s="193"/>
      <c r="F26" s="193"/>
      <c r="G26" s="201" t="s">
        <v>21</v>
      </c>
      <c r="H26" s="193"/>
      <c r="I26" s="193"/>
      <c r="J26" s="193"/>
      <c r="K26" s="193"/>
      <c r="L26" s="202"/>
      <c r="M26" s="193"/>
      <c r="N26" s="193"/>
    </row>
    <row r="27" spans="1:14" ht="15">
      <c r="A27" s="195"/>
      <c r="B27" s="200"/>
      <c r="C27" s="193"/>
      <c r="D27" s="193"/>
      <c r="E27" s="193"/>
      <c r="F27" s="193"/>
      <c r="G27" s="201" t="s">
        <v>22</v>
      </c>
      <c r="H27" s="193"/>
      <c r="I27" s="193"/>
      <c r="J27" s="193"/>
      <c r="K27" s="193"/>
      <c r="L27" s="202"/>
      <c r="M27" s="193"/>
      <c r="N27" s="193"/>
    </row>
    <row r="28" spans="1:14" ht="15">
      <c r="A28" s="195"/>
      <c r="B28" s="200"/>
      <c r="C28" s="193"/>
      <c r="D28" s="193"/>
      <c r="E28" s="193"/>
      <c r="F28" s="193"/>
      <c r="G28" s="328" t="s">
        <v>23</v>
      </c>
      <c r="H28" s="193"/>
      <c r="I28" s="193"/>
      <c r="J28" s="193"/>
      <c r="K28" s="193"/>
      <c r="L28" s="202"/>
      <c r="M28" s="193"/>
      <c r="N28" s="193"/>
    </row>
    <row r="29" spans="1:14" ht="15">
      <c r="A29" s="195"/>
      <c r="B29" s="200"/>
      <c r="C29" s="193"/>
      <c r="D29" s="193"/>
      <c r="E29" s="193"/>
      <c r="F29" s="193"/>
      <c r="G29" s="201" t="s">
        <v>24</v>
      </c>
      <c r="H29" s="193"/>
      <c r="I29" s="193"/>
      <c r="J29" s="193"/>
      <c r="K29" s="193"/>
      <c r="L29" s="202"/>
      <c r="M29" s="193"/>
      <c r="N29" s="193"/>
    </row>
    <row r="30" spans="1:14" ht="15">
      <c r="A30" s="195"/>
      <c r="B30" s="200"/>
      <c r="C30" s="193"/>
      <c r="D30" s="193"/>
      <c r="E30" s="193"/>
      <c r="F30" s="193"/>
      <c r="G30" s="201" t="s">
        <v>25</v>
      </c>
      <c r="H30" s="193"/>
      <c r="I30" s="193"/>
      <c r="J30" s="193"/>
      <c r="K30" s="193"/>
      <c r="L30" s="202"/>
      <c r="M30" s="193"/>
      <c r="N30" s="193"/>
    </row>
    <row r="31" spans="1:14" ht="15">
      <c r="A31" s="195"/>
      <c r="B31" s="200"/>
      <c r="C31" s="193"/>
      <c r="D31" s="193"/>
      <c r="E31" s="193"/>
      <c r="F31" s="193"/>
      <c r="G31" s="193"/>
      <c r="H31" s="193"/>
      <c r="I31" s="193"/>
      <c r="J31" s="193"/>
      <c r="K31" s="193"/>
      <c r="L31" s="202"/>
      <c r="M31" s="193"/>
      <c r="N31" s="193"/>
    </row>
    <row r="32" spans="1:14" ht="15">
      <c r="A32" s="195"/>
      <c r="B32" s="200"/>
      <c r="C32" s="193"/>
      <c r="D32" s="193"/>
      <c r="E32" s="193"/>
      <c r="F32" s="193"/>
      <c r="G32" s="201" t="s">
        <v>26</v>
      </c>
      <c r="H32" s="193"/>
      <c r="I32" s="193"/>
      <c r="J32" s="193"/>
      <c r="K32" s="193"/>
      <c r="L32" s="202"/>
      <c r="M32" s="193"/>
      <c r="N32" s="193"/>
    </row>
    <row r="33" spans="1:14" ht="15">
      <c r="A33" s="195"/>
      <c r="B33" s="200"/>
      <c r="C33" s="193"/>
      <c r="D33" s="193"/>
      <c r="E33" s="193"/>
      <c r="F33" s="193"/>
      <c r="G33" s="328" t="s">
        <v>27</v>
      </c>
      <c r="H33" s="193"/>
      <c r="I33" s="193"/>
      <c r="J33" s="193"/>
      <c r="K33" s="193"/>
      <c r="L33" s="202"/>
      <c r="M33" s="193"/>
      <c r="N33" s="193"/>
    </row>
    <row r="34" spans="1:14" ht="15">
      <c r="A34" s="195"/>
      <c r="B34" s="200"/>
      <c r="C34" s="193"/>
      <c r="D34" s="193"/>
      <c r="E34" s="193"/>
      <c r="F34" s="193"/>
      <c r="G34" s="201" t="s">
        <v>28</v>
      </c>
      <c r="H34" s="193"/>
      <c r="I34" s="193"/>
      <c r="J34" s="193"/>
      <c r="K34" s="193"/>
      <c r="L34" s="202"/>
      <c r="M34" s="193"/>
      <c r="N34" s="193"/>
    </row>
    <row r="35" spans="1:14" ht="15">
      <c r="A35" s="195"/>
      <c r="B35" s="200"/>
      <c r="C35" s="193"/>
      <c r="D35" s="193"/>
      <c r="E35" s="193"/>
      <c r="F35" s="193"/>
      <c r="G35" s="193"/>
      <c r="H35" s="193"/>
      <c r="I35" s="193"/>
      <c r="J35" s="193"/>
      <c r="K35" s="193"/>
      <c r="L35" s="202"/>
      <c r="M35" s="193"/>
      <c r="N35" s="193"/>
    </row>
    <row r="36" spans="1:14" ht="15.75">
      <c r="A36" s="195"/>
      <c r="B36" s="203"/>
      <c r="C36" s="193"/>
      <c r="D36" s="193"/>
      <c r="E36" s="193"/>
      <c r="F36" s="193"/>
      <c r="G36" s="201" t="s">
        <v>29</v>
      </c>
      <c r="H36" s="193"/>
      <c r="I36" s="193"/>
      <c r="J36" s="193"/>
      <c r="K36" s="193"/>
      <c r="L36" s="202"/>
      <c r="M36" s="193"/>
      <c r="N36" s="193"/>
    </row>
    <row r="37" spans="1:14" ht="15.75">
      <c r="A37" s="195"/>
      <c r="B37" s="203"/>
      <c r="C37" s="193"/>
      <c r="D37" s="193"/>
      <c r="E37" s="193"/>
      <c r="F37" s="193"/>
      <c r="G37" s="193"/>
      <c r="H37" s="193"/>
      <c r="I37" s="193"/>
      <c r="J37" s="193"/>
      <c r="K37" s="193"/>
      <c r="L37" s="202"/>
      <c r="M37" s="193"/>
      <c r="N37" s="193"/>
    </row>
    <row r="38" spans="1:14" ht="15">
      <c r="A38" s="193"/>
      <c r="B38" s="330"/>
      <c r="C38" s="192"/>
      <c r="D38" s="192"/>
      <c r="E38" s="192"/>
      <c r="F38" s="192"/>
      <c r="G38" s="201" t="s">
        <v>30</v>
      </c>
      <c r="H38" s="192"/>
      <c r="I38" s="192"/>
      <c r="J38" s="192"/>
      <c r="K38" s="192"/>
      <c r="L38" s="202"/>
      <c r="M38" s="193"/>
      <c r="N38" s="193"/>
    </row>
    <row r="39" spans="1:14" ht="15">
      <c r="A39" s="193"/>
      <c r="B39" s="331"/>
      <c r="C39" s="193"/>
      <c r="D39" s="193"/>
      <c r="E39" s="193"/>
      <c r="F39" s="193"/>
      <c r="G39" s="201" t="s">
        <v>31</v>
      </c>
      <c r="H39" s="193"/>
      <c r="I39" s="193"/>
      <c r="J39" s="193"/>
      <c r="K39" s="193"/>
      <c r="L39" s="195"/>
      <c r="M39" s="193"/>
      <c r="N39" s="193"/>
    </row>
    <row r="40" spans="1:14" ht="13.5" thickBot="1">
      <c r="A40" s="193"/>
      <c r="B40" s="332"/>
      <c r="C40" s="333"/>
      <c r="D40" s="333"/>
      <c r="E40" s="333"/>
      <c r="F40" s="333"/>
      <c r="G40" s="333"/>
      <c r="H40" s="333"/>
      <c r="I40" s="333"/>
      <c r="J40" s="333"/>
      <c r="K40" s="333"/>
      <c r="L40" s="334"/>
      <c r="M40" s="193"/>
      <c r="N40" s="193"/>
    </row>
    <row r="41" spans="1:14">
      <c r="A41" s="339"/>
      <c r="B41" s="339"/>
      <c r="C41" s="339"/>
      <c r="D41" s="339"/>
      <c r="E41" s="339"/>
      <c r="F41" s="339"/>
      <c r="G41" s="339"/>
      <c r="H41" s="338"/>
      <c r="I41" s="338"/>
      <c r="J41" s="338"/>
      <c r="K41" s="338"/>
      <c r="L41" s="338"/>
      <c r="M41" s="338"/>
      <c r="N41" s="338"/>
    </row>
    <row r="42" spans="1:14">
      <c r="A42" s="339"/>
      <c r="B42" s="339"/>
      <c r="C42" s="339"/>
      <c r="D42" s="339"/>
      <c r="E42" s="339"/>
      <c r="F42" s="339"/>
      <c r="G42" s="339"/>
      <c r="H42" s="338"/>
      <c r="I42" s="338"/>
      <c r="J42" s="338"/>
      <c r="K42" s="338"/>
      <c r="L42" s="338"/>
      <c r="M42" s="338"/>
      <c r="N42" s="338"/>
    </row>
    <row r="43" spans="1:14">
      <c r="A43" s="204"/>
      <c r="B43" s="204"/>
      <c r="C43" s="204"/>
      <c r="D43" s="204"/>
      <c r="E43" s="204"/>
      <c r="F43" s="204"/>
      <c r="G43" s="204"/>
      <c r="H43" s="338"/>
      <c r="I43" s="338"/>
      <c r="J43" s="338"/>
      <c r="K43" s="338"/>
      <c r="L43" s="338"/>
      <c r="M43" s="338"/>
      <c r="N43" s="338"/>
    </row>
    <row r="44" spans="1:14">
      <c r="A44" s="204"/>
      <c r="B44" s="204"/>
      <c r="C44" s="204"/>
      <c r="D44" s="204"/>
      <c r="E44" s="204"/>
      <c r="F44" s="204"/>
      <c r="G44" s="204"/>
      <c r="H44" s="338"/>
      <c r="I44" s="338"/>
      <c r="J44" s="338"/>
      <c r="K44" s="338"/>
      <c r="L44" s="338"/>
      <c r="M44" s="338"/>
      <c r="N44" s="338"/>
    </row>
    <row r="45" spans="1:14">
      <c r="A45" s="204"/>
      <c r="B45" s="204"/>
      <c r="C45" s="204"/>
      <c r="D45" s="204"/>
      <c r="E45" s="204"/>
      <c r="F45" s="204"/>
      <c r="G45" s="204"/>
      <c r="H45" s="338"/>
      <c r="I45" s="338"/>
      <c r="J45" s="338"/>
      <c r="K45" s="338"/>
      <c r="L45" s="338"/>
      <c r="M45" s="338"/>
      <c r="N45" s="338"/>
    </row>
    <row r="46" spans="1:14">
      <c r="A46" s="204"/>
      <c r="B46" s="204"/>
      <c r="C46" s="204"/>
      <c r="D46" s="204"/>
      <c r="E46" s="204"/>
      <c r="F46" s="204"/>
      <c r="G46" s="204"/>
      <c r="H46" s="338"/>
      <c r="I46" s="338"/>
      <c r="J46" s="338"/>
      <c r="K46" s="338"/>
      <c r="L46" s="338"/>
      <c r="M46" s="338"/>
      <c r="N46" s="338"/>
    </row>
    <row r="47" spans="1:14">
      <c r="A47" s="204"/>
      <c r="B47" s="204"/>
      <c r="C47" s="204"/>
      <c r="D47" s="204"/>
      <c r="E47" s="204"/>
      <c r="F47" s="204"/>
      <c r="G47" s="204"/>
      <c r="H47" s="338"/>
      <c r="I47" s="338"/>
      <c r="J47" s="338"/>
      <c r="K47" s="338"/>
      <c r="L47" s="338"/>
      <c r="M47" s="338"/>
      <c r="N47" s="338"/>
    </row>
    <row r="48" spans="1:14">
      <c r="A48" s="204"/>
      <c r="B48" s="204"/>
      <c r="C48" s="204"/>
      <c r="D48" s="204"/>
      <c r="E48" s="204"/>
      <c r="F48" s="204"/>
      <c r="G48" s="204"/>
      <c r="H48" s="338"/>
      <c r="I48" s="338"/>
      <c r="J48" s="338"/>
      <c r="K48" s="338"/>
      <c r="L48" s="338"/>
      <c r="M48" s="338"/>
      <c r="N48" s="338"/>
    </row>
    <row r="49" spans="1:14">
      <c r="A49" s="204"/>
      <c r="B49" s="204"/>
      <c r="C49" s="204"/>
      <c r="D49" s="204"/>
      <c r="E49" s="204"/>
      <c r="F49" s="204"/>
      <c r="G49" s="204"/>
      <c r="H49" s="338"/>
      <c r="I49" s="338"/>
      <c r="J49" s="338"/>
      <c r="K49" s="338"/>
      <c r="L49" s="338"/>
      <c r="M49" s="338"/>
      <c r="N49" s="338"/>
    </row>
    <row r="50" spans="1:14">
      <c r="A50" s="204"/>
      <c r="B50" s="204"/>
      <c r="C50" s="204"/>
      <c r="D50" s="204"/>
      <c r="E50" s="204"/>
      <c r="F50" s="204"/>
      <c r="G50" s="204"/>
      <c r="H50" s="338"/>
      <c r="I50" s="338"/>
      <c r="J50" s="338"/>
      <c r="K50" s="338"/>
      <c r="L50" s="338"/>
      <c r="M50" s="338"/>
      <c r="N50" s="338"/>
    </row>
    <row r="51" spans="1:14">
      <c r="A51" s="204"/>
      <c r="B51" s="204"/>
      <c r="C51" s="204"/>
      <c r="D51" s="204"/>
      <c r="E51" s="204"/>
      <c r="F51" s="204"/>
      <c r="G51" s="204"/>
      <c r="H51" s="338"/>
      <c r="I51" s="338"/>
      <c r="J51" s="338"/>
      <c r="K51" s="338"/>
      <c r="L51" s="338"/>
      <c r="M51" s="338"/>
      <c r="N51" s="338"/>
    </row>
    <row r="52" spans="1:14">
      <c r="A52" s="204"/>
      <c r="B52" s="204"/>
      <c r="C52" s="204"/>
      <c r="D52" s="204"/>
      <c r="E52" s="204"/>
      <c r="F52" s="204"/>
      <c r="G52" s="204"/>
      <c r="H52" s="338"/>
      <c r="I52" s="338"/>
      <c r="J52" s="338"/>
      <c r="K52" s="338"/>
      <c r="L52" s="338"/>
      <c r="M52" s="338"/>
      <c r="N52" s="338"/>
    </row>
    <row r="53" spans="1:14">
      <c r="A53" s="204"/>
      <c r="B53" s="204"/>
      <c r="C53" s="204"/>
      <c r="D53" s="204"/>
      <c r="E53" s="204"/>
      <c r="F53" s="204"/>
      <c r="G53" s="204"/>
      <c r="H53" s="338"/>
      <c r="I53" s="338"/>
      <c r="J53" s="338"/>
      <c r="K53" s="338"/>
      <c r="L53" s="338"/>
      <c r="M53" s="338"/>
      <c r="N53" s="338"/>
    </row>
    <row r="54" spans="1:14">
      <c r="A54" s="204"/>
      <c r="B54" s="204"/>
      <c r="C54" s="204"/>
      <c r="D54" s="204"/>
      <c r="E54" s="204"/>
      <c r="F54" s="204"/>
      <c r="G54" s="204"/>
      <c r="H54" s="338"/>
      <c r="I54" s="338"/>
      <c r="J54" s="338"/>
      <c r="K54" s="338"/>
      <c r="L54" s="338"/>
      <c r="M54" s="338"/>
      <c r="N54" s="338"/>
    </row>
    <row r="55" spans="1:14">
      <c r="A55" s="204"/>
      <c r="B55" s="204"/>
      <c r="C55" s="204"/>
      <c r="D55" s="204"/>
      <c r="E55" s="204"/>
      <c r="F55" s="204"/>
      <c r="G55" s="204"/>
      <c r="H55" s="338"/>
      <c r="I55" s="338"/>
      <c r="J55" s="338"/>
      <c r="K55" s="338"/>
      <c r="L55" s="338"/>
      <c r="M55" s="338"/>
      <c r="N55" s="338"/>
    </row>
    <row r="56" spans="1:14">
      <c r="A56" s="204"/>
      <c r="B56" s="204"/>
      <c r="C56" s="204"/>
      <c r="D56" s="204"/>
      <c r="E56" s="204"/>
      <c r="F56" s="204"/>
      <c r="G56" s="204"/>
      <c r="H56" s="338"/>
      <c r="I56" s="338"/>
      <c r="J56" s="338"/>
      <c r="K56" s="338"/>
      <c r="L56" s="338"/>
      <c r="M56" s="338"/>
      <c r="N56" s="338"/>
    </row>
    <row r="57" spans="1:14">
      <c r="A57" s="204"/>
      <c r="B57" s="204"/>
      <c r="C57" s="204"/>
      <c r="D57" s="204"/>
      <c r="E57" s="204"/>
      <c r="F57" s="204"/>
      <c r="G57" s="204"/>
      <c r="H57" s="338"/>
      <c r="I57" s="338"/>
      <c r="J57" s="338"/>
      <c r="K57" s="338"/>
      <c r="L57" s="338"/>
      <c r="M57" s="338"/>
      <c r="N57" s="338"/>
    </row>
    <row r="58" spans="1:14">
      <c r="A58" s="204"/>
      <c r="B58" s="204"/>
      <c r="C58" s="204"/>
      <c r="D58" s="204"/>
      <c r="E58" s="204"/>
      <c r="F58" s="204"/>
      <c r="G58" s="204"/>
      <c r="H58" s="338"/>
      <c r="I58" s="338"/>
      <c r="J58" s="338"/>
      <c r="K58" s="338"/>
      <c r="L58" s="338"/>
      <c r="M58" s="338"/>
      <c r="N58" s="338"/>
    </row>
    <row r="59" spans="1:14">
      <c r="A59" s="204"/>
      <c r="B59" s="204"/>
      <c r="C59" s="204"/>
      <c r="D59" s="204"/>
      <c r="E59" s="204"/>
      <c r="F59" s="204"/>
      <c r="G59" s="204"/>
      <c r="H59" s="338"/>
      <c r="I59" s="338"/>
      <c r="J59" s="338"/>
      <c r="K59" s="338"/>
      <c r="L59" s="338"/>
      <c r="M59" s="338"/>
      <c r="N59" s="338"/>
    </row>
    <row r="60" spans="1:14">
      <c r="A60" s="204"/>
      <c r="B60" s="204"/>
      <c r="C60" s="204"/>
      <c r="D60" s="204"/>
      <c r="E60" s="204"/>
      <c r="F60" s="204"/>
      <c r="G60" s="204"/>
      <c r="H60" s="338"/>
      <c r="I60" s="338"/>
      <c r="J60" s="338"/>
      <c r="K60" s="338"/>
      <c r="L60" s="338"/>
      <c r="M60" s="338"/>
      <c r="N60" s="338"/>
    </row>
    <row r="61" spans="1:14">
      <c r="A61" s="204"/>
      <c r="B61" s="204"/>
      <c r="C61" s="204"/>
      <c r="D61" s="204"/>
      <c r="E61" s="204"/>
      <c r="F61" s="204"/>
      <c r="G61" s="204"/>
      <c r="H61" s="338"/>
      <c r="I61" s="338"/>
      <c r="J61" s="338"/>
      <c r="K61" s="338"/>
      <c r="L61" s="338"/>
      <c r="M61" s="338"/>
      <c r="N61" s="338"/>
    </row>
    <row r="62" spans="1:14">
      <c r="A62" s="204"/>
      <c r="B62" s="204"/>
      <c r="C62" s="204"/>
      <c r="D62" s="204"/>
      <c r="E62" s="204"/>
      <c r="F62" s="204"/>
      <c r="G62" s="204"/>
      <c r="H62" s="338"/>
      <c r="I62" s="338"/>
      <c r="J62" s="338"/>
      <c r="K62" s="338"/>
      <c r="L62" s="338"/>
      <c r="M62" s="338"/>
      <c r="N62" s="338"/>
    </row>
    <row r="63" spans="1:14">
      <c r="A63" s="204"/>
      <c r="B63" s="204"/>
      <c r="C63" s="204"/>
      <c r="D63" s="204"/>
      <c r="E63" s="204"/>
      <c r="F63" s="204"/>
      <c r="G63" s="204"/>
      <c r="H63" s="338"/>
      <c r="I63" s="338"/>
      <c r="J63" s="338"/>
      <c r="K63" s="338"/>
      <c r="L63" s="338"/>
      <c r="M63" s="338"/>
      <c r="N63" s="338"/>
    </row>
    <row r="64" spans="1:14">
      <c r="A64" s="204"/>
      <c r="B64" s="204"/>
      <c r="C64" s="204"/>
      <c r="D64" s="204"/>
      <c r="E64" s="204"/>
      <c r="F64" s="204"/>
      <c r="G64" s="204"/>
      <c r="H64" s="338"/>
      <c r="I64" s="338"/>
      <c r="J64" s="338"/>
      <c r="K64" s="338"/>
      <c r="L64" s="338"/>
      <c r="M64" s="338"/>
      <c r="N64" s="338"/>
    </row>
    <row r="65" spans="1:14">
      <c r="A65" s="204"/>
      <c r="B65" s="204"/>
      <c r="C65" s="204"/>
      <c r="D65" s="204"/>
      <c r="E65" s="204"/>
      <c r="F65" s="204"/>
      <c r="G65" s="204"/>
      <c r="H65" s="338"/>
      <c r="I65" s="338"/>
      <c r="J65" s="338"/>
      <c r="K65" s="338"/>
      <c r="L65" s="338"/>
      <c r="M65" s="338"/>
      <c r="N65" s="338"/>
    </row>
    <row r="66" spans="1:14">
      <c r="A66" s="204"/>
      <c r="B66" s="204"/>
      <c r="C66" s="204"/>
      <c r="D66" s="204"/>
      <c r="E66" s="204"/>
      <c r="F66" s="204"/>
      <c r="G66" s="204"/>
      <c r="H66" s="338"/>
      <c r="I66" s="338"/>
      <c r="J66" s="338"/>
      <c r="K66" s="338"/>
      <c r="L66" s="338"/>
      <c r="M66" s="338"/>
      <c r="N66" s="338"/>
    </row>
    <row r="67" spans="1:14">
      <c r="A67" s="204"/>
      <c r="B67" s="204"/>
      <c r="C67" s="204"/>
      <c r="D67" s="204"/>
      <c r="E67" s="204"/>
      <c r="F67" s="204"/>
      <c r="G67" s="204"/>
      <c r="H67" s="338"/>
      <c r="I67" s="338"/>
      <c r="J67" s="338"/>
      <c r="K67" s="338"/>
      <c r="L67" s="338"/>
      <c r="M67" s="338"/>
      <c r="N67" s="338"/>
    </row>
    <row r="68" spans="1:14">
      <c r="A68" s="204"/>
      <c r="B68" s="204"/>
      <c r="C68" s="204"/>
      <c r="D68" s="204"/>
      <c r="E68" s="204"/>
      <c r="F68" s="204"/>
      <c r="G68" s="204"/>
      <c r="H68" s="338"/>
      <c r="I68" s="338"/>
      <c r="J68" s="338"/>
      <c r="K68" s="338"/>
      <c r="L68" s="338"/>
      <c r="M68" s="338"/>
      <c r="N68" s="338"/>
    </row>
    <row r="69" spans="1:14">
      <c r="A69" s="204"/>
      <c r="B69" s="204"/>
      <c r="C69" s="204"/>
      <c r="D69" s="204"/>
      <c r="E69" s="204"/>
      <c r="F69" s="204"/>
      <c r="G69" s="204"/>
      <c r="H69" s="338"/>
      <c r="I69" s="338"/>
      <c r="J69" s="338"/>
      <c r="K69" s="338"/>
      <c r="L69" s="338"/>
      <c r="M69" s="338"/>
      <c r="N69" s="338"/>
    </row>
    <row r="70" spans="1:14">
      <c r="A70" s="204"/>
      <c r="B70" s="204"/>
      <c r="C70" s="204"/>
      <c r="D70" s="204"/>
      <c r="E70" s="204"/>
      <c r="F70" s="204"/>
      <c r="G70" s="204"/>
      <c r="H70" s="338"/>
      <c r="I70" s="338"/>
      <c r="J70" s="338"/>
      <c r="K70" s="338"/>
      <c r="L70" s="338"/>
      <c r="M70" s="338"/>
      <c r="N70" s="338"/>
    </row>
    <row r="71" spans="1:14">
      <c r="A71" s="204"/>
      <c r="B71" s="204"/>
      <c r="C71" s="204"/>
      <c r="D71" s="204"/>
      <c r="E71" s="204"/>
      <c r="F71" s="204"/>
      <c r="G71" s="204"/>
      <c r="H71" s="338"/>
      <c r="I71" s="338"/>
      <c r="J71" s="338"/>
      <c r="K71" s="338"/>
      <c r="L71" s="338"/>
      <c r="M71" s="338"/>
      <c r="N71" s="338"/>
    </row>
    <row r="72" spans="1:14">
      <c r="A72" s="204"/>
      <c r="B72" s="204"/>
      <c r="C72" s="204"/>
      <c r="D72" s="204"/>
      <c r="E72" s="204"/>
      <c r="F72" s="204"/>
      <c r="G72" s="204"/>
      <c r="H72" s="338"/>
      <c r="I72" s="338"/>
      <c r="J72" s="338"/>
      <c r="K72" s="338"/>
      <c r="L72" s="338"/>
      <c r="M72" s="338"/>
      <c r="N72" s="338"/>
    </row>
    <row r="73" spans="1:14">
      <c r="A73" s="204"/>
      <c r="B73" s="204"/>
      <c r="C73" s="204"/>
      <c r="D73" s="204"/>
      <c r="E73" s="204"/>
      <c r="F73" s="204"/>
      <c r="G73" s="204"/>
      <c r="H73" s="338"/>
      <c r="I73" s="338"/>
      <c r="J73" s="338"/>
      <c r="K73" s="338"/>
      <c r="L73" s="338"/>
      <c r="M73" s="338"/>
      <c r="N73" s="338"/>
    </row>
    <row r="74" spans="1:14">
      <c r="A74" s="204"/>
      <c r="B74" s="204"/>
      <c r="C74" s="204"/>
      <c r="D74" s="204"/>
      <c r="E74" s="204"/>
      <c r="F74" s="204"/>
      <c r="G74" s="204"/>
      <c r="H74" s="338"/>
      <c r="I74" s="338"/>
      <c r="J74" s="338"/>
      <c r="K74" s="338"/>
      <c r="L74" s="338"/>
      <c r="M74" s="338"/>
      <c r="N74" s="338"/>
    </row>
    <row r="75" spans="1:14">
      <c r="A75" s="204"/>
      <c r="B75" s="204"/>
      <c r="C75" s="204"/>
      <c r="D75" s="204"/>
      <c r="E75" s="204"/>
      <c r="F75" s="204"/>
      <c r="G75" s="204"/>
      <c r="H75" s="338"/>
      <c r="I75" s="338"/>
      <c r="J75" s="338"/>
      <c r="K75" s="338"/>
      <c r="L75" s="338"/>
      <c r="M75" s="338"/>
      <c r="N75" s="338"/>
    </row>
    <row r="76" spans="1:14">
      <c r="A76" s="204"/>
      <c r="B76" s="204"/>
      <c r="C76" s="204"/>
      <c r="D76" s="204"/>
      <c r="E76" s="204"/>
      <c r="F76" s="204"/>
      <c r="G76" s="204"/>
      <c r="H76" s="338"/>
      <c r="I76" s="338"/>
      <c r="J76" s="338"/>
      <c r="K76" s="338"/>
      <c r="L76" s="338"/>
      <c r="M76" s="338"/>
      <c r="N76" s="338"/>
    </row>
    <row r="77" spans="1:14">
      <c r="A77" s="204"/>
      <c r="B77" s="204"/>
      <c r="C77" s="204"/>
      <c r="D77" s="204"/>
      <c r="E77" s="204"/>
      <c r="F77" s="204"/>
      <c r="G77" s="204"/>
      <c r="H77" s="338"/>
      <c r="I77" s="338"/>
      <c r="J77" s="338"/>
      <c r="K77" s="338"/>
      <c r="L77" s="338"/>
      <c r="M77" s="338"/>
      <c r="N77" s="338"/>
    </row>
    <row r="78" spans="1:14">
      <c r="A78" s="204"/>
      <c r="B78" s="204"/>
      <c r="C78" s="204"/>
      <c r="D78" s="204"/>
      <c r="E78" s="204"/>
      <c r="F78" s="204"/>
      <c r="G78" s="204"/>
      <c r="H78" s="338"/>
      <c r="I78" s="338"/>
      <c r="J78" s="338"/>
      <c r="K78" s="338"/>
      <c r="L78" s="338"/>
      <c r="M78" s="338"/>
      <c r="N78" s="338"/>
    </row>
    <row r="79" spans="1:14">
      <c r="A79" s="204"/>
      <c r="B79" s="204"/>
      <c r="C79" s="204"/>
      <c r="D79" s="204"/>
      <c r="E79" s="204"/>
      <c r="F79" s="204"/>
      <c r="G79" s="204"/>
      <c r="H79" s="338"/>
      <c r="I79" s="338"/>
      <c r="J79" s="338"/>
      <c r="K79" s="338"/>
      <c r="L79" s="338"/>
      <c r="M79" s="338"/>
      <c r="N79" s="338"/>
    </row>
    <row r="80" spans="1:14">
      <c r="A80" s="204"/>
      <c r="B80" s="204"/>
      <c r="C80" s="204"/>
      <c r="D80" s="204"/>
      <c r="E80" s="204"/>
      <c r="F80" s="204"/>
      <c r="G80" s="204"/>
      <c r="H80" s="338"/>
      <c r="I80" s="338"/>
      <c r="J80" s="338"/>
      <c r="K80" s="338"/>
      <c r="L80" s="338"/>
      <c r="M80" s="338"/>
      <c r="N80" s="338"/>
    </row>
    <row r="81" spans="1:14">
      <c r="A81" s="204"/>
      <c r="B81" s="204"/>
      <c r="C81" s="204"/>
      <c r="D81" s="204"/>
      <c r="E81" s="204"/>
      <c r="F81" s="204"/>
      <c r="G81" s="204"/>
      <c r="H81" s="338"/>
      <c r="I81" s="338"/>
      <c r="J81" s="338"/>
      <c r="K81" s="338"/>
      <c r="L81" s="338"/>
      <c r="M81" s="338"/>
      <c r="N81" s="338"/>
    </row>
    <row r="82" spans="1:14">
      <c r="A82" s="204"/>
      <c r="B82" s="204"/>
      <c r="C82" s="204"/>
      <c r="D82" s="204"/>
      <c r="E82" s="204"/>
      <c r="F82" s="204"/>
      <c r="G82" s="204"/>
      <c r="H82" s="338"/>
      <c r="I82" s="338"/>
      <c r="J82" s="338"/>
      <c r="K82" s="338"/>
      <c r="L82" s="338"/>
      <c r="M82" s="338"/>
      <c r="N82" s="338"/>
    </row>
    <row r="83" spans="1:14">
      <c r="A83" s="204"/>
      <c r="B83" s="204"/>
      <c r="C83" s="204"/>
      <c r="D83" s="204"/>
      <c r="E83" s="204"/>
      <c r="F83" s="204"/>
      <c r="G83" s="204"/>
      <c r="H83" s="338"/>
      <c r="I83" s="338"/>
      <c r="J83" s="338"/>
      <c r="K83" s="338"/>
      <c r="L83" s="338"/>
      <c r="M83" s="338"/>
      <c r="N83" s="338"/>
    </row>
    <row r="84" spans="1:14">
      <c r="A84" s="204"/>
      <c r="B84" s="204"/>
      <c r="C84" s="204"/>
      <c r="D84" s="204"/>
      <c r="E84" s="204"/>
      <c r="F84" s="204"/>
      <c r="G84" s="204"/>
      <c r="H84" s="338"/>
      <c r="I84" s="338"/>
      <c r="J84" s="338"/>
      <c r="K84" s="338"/>
      <c r="L84" s="338"/>
      <c r="M84" s="338"/>
      <c r="N84" s="338"/>
    </row>
    <row r="85" spans="1:14">
      <c r="A85" s="204"/>
      <c r="B85" s="204"/>
      <c r="C85" s="204"/>
      <c r="D85" s="204"/>
      <c r="E85" s="204"/>
      <c r="F85" s="204"/>
      <c r="G85" s="204"/>
      <c r="H85" s="338"/>
      <c r="I85" s="338"/>
      <c r="J85" s="338"/>
      <c r="K85" s="338"/>
      <c r="L85" s="338"/>
      <c r="M85" s="338"/>
      <c r="N85" s="338"/>
    </row>
    <row r="86" spans="1:14">
      <c r="A86" s="204"/>
      <c r="B86" s="204"/>
      <c r="C86" s="204"/>
      <c r="D86" s="204"/>
      <c r="E86" s="204"/>
      <c r="F86" s="204"/>
      <c r="G86" s="204"/>
      <c r="H86" s="338"/>
      <c r="I86" s="338"/>
      <c r="J86" s="338"/>
      <c r="K86" s="338"/>
      <c r="L86" s="338"/>
      <c r="M86" s="338"/>
      <c r="N86" s="338"/>
    </row>
    <row r="87" spans="1:14">
      <c r="A87" s="204"/>
      <c r="B87" s="204"/>
      <c r="C87" s="204"/>
      <c r="D87" s="204"/>
      <c r="E87" s="204"/>
      <c r="F87" s="204"/>
      <c r="G87" s="204"/>
      <c r="H87" s="338"/>
      <c r="I87" s="338"/>
      <c r="J87" s="338"/>
      <c r="K87" s="338"/>
      <c r="L87" s="338"/>
      <c r="M87" s="338"/>
      <c r="N87" s="338"/>
    </row>
    <row r="88" spans="1:14">
      <c r="A88" s="204"/>
      <c r="B88" s="204"/>
      <c r="C88" s="204"/>
      <c r="D88" s="204"/>
      <c r="E88" s="204"/>
      <c r="F88" s="204"/>
      <c r="G88" s="204"/>
      <c r="H88" s="338"/>
      <c r="I88" s="338"/>
      <c r="J88" s="338"/>
      <c r="K88" s="338"/>
      <c r="L88" s="338"/>
      <c r="M88" s="338"/>
      <c r="N88" s="338"/>
    </row>
    <row r="89" spans="1:14">
      <c r="A89" s="204"/>
      <c r="B89" s="204"/>
      <c r="C89" s="204"/>
      <c r="D89" s="204"/>
      <c r="E89" s="204"/>
      <c r="F89" s="204"/>
      <c r="G89" s="204"/>
      <c r="H89" s="338"/>
      <c r="I89" s="338"/>
      <c r="J89" s="338"/>
      <c r="K89" s="338"/>
      <c r="L89" s="338"/>
      <c r="M89" s="338"/>
      <c r="N89" s="338"/>
    </row>
    <row r="90" spans="1:14">
      <c r="A90" s="204"/>
      <c r="B90" s="204"/>
      <c r="C90" s="204"/>
      <c r="D90" s="204"/>
      <c r="E90" s="204"/>
      <c r="F90" s="204"/>
      <c r="G90" s="204"/>
      <c r="H90" s="338"/>
      <c r="I90" s="338"/>
      <c r="J90" s="338"/>
      <c r="K90" s="338"/>
      <c r="L90" s="338"/>
      <c r="M90" s="338"/>
      <c r="N90" s="338"/>
    </row>
    <row r="91" spans="1:14">
      <c r="A91" s="204"/>
      <c r="B91" s="204"/>
      <c r="C91" s="204"/>
      <c r="D91" s="204"/>
      <c r="E91" s="204"/>
      <c r="F91" s="204"/>
      <c r="G91" s="204"/>
      <c r="H91" s="338"/>
      <c r="I91" s="338"/>
      <c r="J91" s="338"/>
      <c r="K91" s="338"/>
      <c r="L91" s="338"/>
      <c r="M91" s="338"/>
      <c r="N91" s="338"/>
    </row>
    <row r="92" spans="1:14">
      <c r="A92" s="204"/>
      <c r="B92" s="204"/>
      <c r="C92" s="204"/>
      <c r="D92" s="204"/>
      <c r="E92" s="204"/>
      <c r="F92" s="204"/>
      <c r="G92" s="204"/>
      <c r="H92" s="338"/>
      <c r="I92" s="338"/>
      <c r="J92" s="338"/>
      <c r="K92" s="338"/>
      <c r="L92" s="338"/>
      <c r="M92" s="338"/>
      <c r="N92" s="338"/>
    </row>
    <row r="93" spans="1:14">
      <c r="A93" s="204"/>
      <c r="B93" s="204"/>
      <c r="C93" s="204"/>
      <c r="D93" s="204"/>
      <c r="E93" s="204"/>
      <c r="F93" s="204"/>
      <c r="G93" s="204"/>
      <c r="H93" s="338"/>
      <c r="I93" s="338"/>
      <c r="J93" s="338"/>
      <c r="K93" s="338"/>
      <c r="L93" s="338"/>
      <c r="M93" s="338"/>
      <c r="N93" s="338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>
      <selection activeCell="A2" sqref="A2"/>
    </sheetView>
  </sheetViews>
  <sheetFormatPr defaultRowHeight="12.75"/>
  <cols>
    <col min="1" max="1" width="18.140625" customWidth="1"/>
    <col min="2" max="2" width="25.7109375" customWidth="1"/>
  </cols>
  <sheetData>
    <row r="1" spans="1:2">
      <c r="A1" t="s">
        <v>32</v>
      </c>
      <c r="B1" t="s">
        <v>33</v>
      </c>
    </row>
    <row r="2" spans="1:2">
      <c r="A2" t="s">
        <v>34</v>
      </c>
      <c r="B2" t="s">
        <v>35</v>
      </c>
    </row>
    <row r="3" spans="1:2">
      <c r="A3" t="s">
        <v>36</v>
      </c>
      <c r="B3" t="s">
        <v>37</v>
      </c>
    </row>
    <row r="4" spans="1:2">
      <c r="A4" t="s">
        <v>38</v>
      </c>
      <c r="B4" s="337">
        <v>44960.548171296294</v>
      </c>
    </row>
    <row r="5" spans="1:2">
      <c r="A5" t="s">
        <v>39</v>
      </c>
      <c r="B5" t="s">
        <v>40</v>
      </c>
    </row>
    <row r="6" spans="1:2">
      <c r="A6" t="s">
        <v>41</v>
      </c>
      <c r="B6" t="s">
        <v>42</v>
      </c>
    </row>
    <row r="40" spans="7:7">
      <c r="G40" s="307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>
      <c r="A1" s="10"/>
      <c r="B1" s="10"/>
      <c r="C1" s="10"/>
      <c r="D1" s="10"/>
      <c r="E1" s="10"/>
      <c r="F1" s="10"/>
      <c r="G1" s="173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>
      <c r="B2" s="152" t="s">
        <v>43</v>
      </c>
    </row>
    <row r="4" spans="1:52">
      <c r="B4" s="65" t="s">
        <v>44</v>
      </c>
      <c r="C4" t="str">
        <f>Stored!B11</f>
        <v>M:/IE/Projects/Nuffield via NFER AI and automation/Data/Results/Workbooks/LEPs/BC_LEP/BC_LEP_Database.Main.xlsx</v>
      </c>
    </row>
    <row r="5" spans="1:52">
      <c r="B5" s="65"/>
    </row>
    <row r="6" spans="1:52" ht="22.5" customHeight="1">
      <c r="B6" s="153" t="s">
        <v>45</v>
      </c>
      <c r="C6" s="153"/>
      <c r="D6" s="176"/>
    </row>
    <row r="7" spans="1:52" ht="15.75" customHeight="1">
      <c r="B7" s="41"/>
      <c r="C7" s="42"/>
      <c r="D7" s="43"/>
    </row>
    <row r="8" spans="1:52" ht="21" customHeight="1">
      <c r="B8" s="44"/>
      <c r="C8" s="175"/>
      <c r="D8" s="45"/>
    </row>
    <row r="10" spans="1:52" ht="17.25" customHeight="1">
      <c r="B10" s="154" t="s">
        <v>46</v>
      </c>
      <c r="C10" s="39"/>
      <c r="D10" s="39"/>
      <c r="E10" s="39"/>
      <c r="F10" s="39"/>
      <c r="G10" s="39"/>
      <c r="H10" s="40"/>
    </row>
    <row r="11" spans="1:52">
      <c r="B11" s="41"/>
      <c r="C11" s="47" t="s">
        <v>47</v>
      </c>
      <c r="D11" s="47" t="s">
        <v>48</v>
      </c>
      <c r="E11" s="47" t="s">
        <v>49</v>
      </c>
      <c r="F11" s="47" t="s">
        <v>50</v>
      </c>
      <c r="G11" s="47" t="s">
        <v>51</v>
      </c>
      <c r="H11" s="43"/>
    </row>
    <row r="12" spans="1:52" ht="13.5" thickBot="1">
      <c r="B12" s="151" t="s">
        <v>52</v>
      </c>
      <c r="C12" s="48">
        <f>'Ind T2'!B3</f>
        <v>2015</v>
      </c>
      <c r="D12" s="48">
        <f>'Ind T2'!C3</f>
        <v>2019</v>
      </c>
      <c r="E12" s="48">
        <f>'Ind T2'!D3</f>
        <v>2020</v>
      </c>
      <c r="F12" s="48">
        <f>'Ind T2'!E3</f>
        <v>2025</v>
      </c>
      <c r="G12" s="48">
        <f>'Ind T2'!F3</f>
        <v>2035</v>
      </c>
      <c r="H12" s="43"/>
    </row>
    <row r="13" spans="1:52" ht="13.5" thickBot="1">
      <c r="B13" s="181" t="s">
        <v>53</v>
      </c>
      <c r="C13" s="109">
        <v>2015</v>
      </c>
      <c r="D13" s="49">
        <v>2019</v>
      </c>
      <c r="E13" s="49">
        <v>2020</v>
      </c>
      <c r="F13" s="49">
        <v>2025</v>
      </c>
      <c r="G13" s="50">
        <v>2035</v>
      </c>
      <c r="H13" s="46"/>
    </row>
    <row r="14" spans="1:52">
      <c r="A14" s="65"/>
    </row>
    <row r="16" spans="1:52" ht="45.75" customHeight="1"/>
    <row r="17" spans="5:5" ht="15.75" customHeight="1">
      <c r="E17" s="42"/>
    </row>
    <row r="18" spans="5:5" ht="24" customHeight="1">
      <c r="E18" s="42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/>
  <cols>
    <col min="1" max="1" width="14.140625" customWidth="1"/>
    <col min="2" max="2" width="100.85546875" customWidth="1"/>
    <col min="3" max="3" width="9.140625" customWidth="1"/>
  </cols>
  <sheetData>
    <row r="1" spans="1:2" ht="15">
      <c r="A1" s="190" t="s">
        <v>54</v>
      </c>
    </row>
    <row r="2" spans="1:2">
      <c r="A2" s="65" t="s">
        <v>55</v>
      </c>
    </row>
    <row r="3" spans="1:2" s="1" customFormat="1">
      <c r="A3" s="185"/>
      <c r="B3" s="185"/>
    </row>
    <row r="4" spans="1:2" s="65" customFormat="1">
      <c r="A4" s="186" t="s">
        <v>56</v>
      </c>
      <c r="B4" s="186" t="s">
        <v>54</v>
      </c>
    </row>
    <row r="5" spans="1:2">
      <c r="A5" s="187" t="s">
        <v>57</v>
      </c>
      <c r="B5" s="188" t="s">
        <v>58</v>
      </c>
    </row>
    <row r="6" spans="1:2">
      <c r="A6" s="187" t="s">
        <v>59</v>
      </c>
      <c r="B6" s="188" t="s">
        <v>60</v>
      </c>
    </row>
    <row r="7" spans="1:2">
      <c r="A7" s="187" t="s">
        <v>61</v>
      </c>
      <c r="B7" s="188" t="s">
        <v>62</v>
      </c>
    </row>
    <row r="8" spans="1:2">
      <c r="A8" s="187" t="s">
        <v>63</v>
      </c>
      <c r="B8" s="189" t="s">
        <v>64</v>
      </c>
    </row>
    <row r="9" spans="1:2">
      <c r="A9" s="187" t="s">
        <v>65</v>
      </c>
      <c r="B9" s="189" t="s">
        <v>66</v>
      </c>
    </row>
    <row r="10" spans="1:2">
      <c r="A10" s="187" t="s">
        <v>67</v>
      </c>
      <c r="B10" s="188" t="s">
        <v>68</v>
      </c>
    </row>
    <row r="11" spans="1:2">
      <c r="A11" s="187" t="s">
        <v>69</v>
      </c>
      <c r="B11" s="188" t="s">
        <v>70</v>
      </c>
    </row>
    <row r="12" spans="1:2">
      <c r="A12" s="187" t="s">
        <v>71</v>
      </c>
      <c r="B12" s="188" t="s">
        <v>72</v>
      </c>
    </row>
    <row r="13" spans="1:2">
      <c r="A13" s="187" t="s">
        <v>73</v>
      </c>
      <c r="B13" s="188" t="s">
        <v>74</v>
      </c>
    </row>
    <row r="14" spans="1:2">
      <c r="A14" s="187" t="s">
        <v>75</v>
      </c>
      <c r="B14" s="188" t="s">
        <v>76</v>
      </c>
    </row>
    <row r="15" spans="1:2">
      <c r="A15" s="187" t="s">
        <v>77</v>
      </c>
      <c r="B15" s="188" t="s">
        <v>78</v>
      </c>
    </row>
    <row r="16" spans="1:2">
      <c r="A16" s="187" t="s">
        <v>79</v>
      </c>
      <c r="B16" s="188" t="s">
        <v>80</v>
      </c>
    </row>
    <row r="17" spans="1:2">
      <c r="A17" s="187" t="s">
        <v>81</v>
      </c>
      <c r="B17" s="188" t="s">
        <v>82</v>
      </c>
    </row>
    <row r="18" spans="1:2">
      <c r="A18" s="187" t="s">
        <v>83</v>
      </c>
      <c r="B18" s="188" t="s">
        <v>84</v>
      </c>
    </row>
    <row r="19" spans="1:2">
      <c r="A19" s="187" t="s">
        <v>85</v>
      </c>
      <c r="B19" s="188" t="s">
        <v>86</v>
      </c>
    </row>
    <row r="20" spans="1:2">
      <c r="A20" s="187" t="s">
        <v>87</v>
      </c>
      <c r="B20" s="188" t="s">
        <v>88</v>
      </c>
    </row>
    <row r="21" spans="1:2">
      <c r="A21" s="187" t="s">
        <v>89</v>
      </c>
      <c r="B21" s="188" t="s">
        <v>90</v>
      </c>
    </row>
    <row r="22" spans="1:2">
      <c r="A22" s="187" t="s">
        <v>91</v>
      </c>
      <c r="B22" s="188" t="s">
        <v>92</v>
      </c>
    </row>
    <row r="23" spans="1:2">
      <c r="A23" s="187" t="s">
        <v>93</v>
      </c>
      <c r="B23" s="188" t="s">
        <v>94</v>
      </c>
    </row>
    <row r="24" spans="1:2">
      <c r="A24" s="187" t="s">
        <v>95</v>
      </c>
      <c r="B24" s="188" t="s">
        <v>96</v>
      </c>
    </row>
    <row r="25" spans="1:2">
      <c r="A25" s="187" t="s">
        <v>97</v>
      </c>
      <c r="B25" s="188" t="s">
        <v>98</v>
      </c>
    </row>
    <row r="26" spans="1:2">
      <c r="A26" s="187" t="s">
        <v>99</v>
      </c>
      <c r="B26" s="188" t="s">
        <v>100</v>
      </c>
    </row>
    <row r="27" spans="1:2">
      <c r="A27" s="187" t="s">
        <v>101</v>
      </c>
      <c r="B27" s="188" t="s">
        <v>102</v>
      </c>
    </row>
    <row r="28" spans="1:2">
      <c r="A28" s="187" t="s">
        <v>103</v>
      </c>
      <c r="B28" s="188" t="s">
        <v>104</v>
      </c>
    </row>
    <row r="29" spans="1:2">
      <c r="A29" s="187" t="s">
        <v>105</v>
      </c>
      <c r="B29" s="188" t="s">
        <v>106</v>
      </c>
    </row>
    <row r="30" spans="1:2">
      <c r="A30" s="187" t="s">
        <v>107</v>
      </c>
      <c r="B30" s="188" t="s">
        <v>108</v>
      </c>
    </row>
    <row r="31" spans="1:2">
      <c r="A31" s="187" t="s">
        <v>109</v>
      </c>
      <c r="B31" s="188" t="s">
        <v>110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>
      <c r="A1" s="18" t="str">
        <f>CONCATENATE("Industry Table 1  Employment by Industry Sector (SIC 2007), ",B$5,"-",F$5,", ",Info!B5)</f>
        <v>Industry Table 1  Employment by Industry Sector (SIC 2007), 2015-2035, Black Country</v>
      </c>
      <c r="L1" s="18" t="str">
        <f>CONCATENATE("Industry Table 1.1  Employment by Industry Sector (SIC 2007), ",B$5,"-",F$5,", ",Info!B5)</f>
        <v>Industry Table 1.1  Employment by Industry Sector (SIC 2007), 2015-2035, Black Country</v>
      </c>
    </row>
    <row r="2" spans="1:19">
      <c r="A2" s="1" t="s">
        <v>111</v>
      </c>
      <c r="J2" s="16" t="s">
        <v>112</v>
      </c>
    </row>
    <row r="3" spans="1:19" ht="15.75">
      <c r="A3" s="324"/>
      <c r="B3" s="29"/>
      <c r="C3" s="29"/>
      <c r="D3" s="29"/>
      <c r="E3" s="29"/>
      <c r="F3" s="29"/>
      <c r="G3" s="17"/>
      <c r="H3" s="24" t="str">
        <f>CONCATENATE(D5,"-",F5)</f>
        <v>2020-2035</v>
      </c>
      <c r="I3" s="29"/>
      <c r="J3" s="29"/>
      <c r="K3" s="17"/>
      <c r="O3" s="1" t="s">
        <v>113</v>
      </c>
      <c r="R3" s="61" t="s">
        <v>114</v>
      </c>
    </row>
    <row r="4" spans="1:19">
      <c r="G4" s="10"/>
      <c r="H4" s="16" t="s">
        <v>115</v>
      </c>
      <c r="I4" s="16" t="s">
        <v>116</v>
      </c>
      <c r="J4" s="16" t="s">
        <v>117</v>
      </c>
      <c r="K4" s="10"/>
      <c r="L4" s="20"/>
      <c r="M4" s="21">
        <f>B5</f>
        <v>2015</v>
      </c>
      <c r="N4" s="21">
        <f>C5</f>
        <v>2019</v>
      </c>
      <c r="O4" s="21">
        <f>D5</f>
        <v>2020</v>
      </c>
      <c r="P4" s="21">
        <f>E5</f>
        <v>2025</v>
      </c>
      <c r="Q4" s="21">
        <f>F5</f>
        <v>2035</v>
      </c>
      <c r="R4" s="60" t="str">
        <f>CONCATENATE(B$5,"-",D$5)</f>
        <v>2015-2020</v>
      </c>
      <c r="S4" s="60" t="str">
        <f t="shared" ref="S4:S10" si="0">F33</f>
        <v>2020-2035</v>
      </c>
    </row>
    <row r="5" spans="1:19">
      <c r="A5" s="22"/>
      <c r="B5" s="28">
        <f>'Ind T2'!B3</f>
        <v>2015</v>
      </c>
      <c r="C5" s="28">
        <f>'Ind T2'!C3</f>
        <v>2019</v>
      </c>
      <c r="D5" s="28">
        <f>'Ind T2'!D3</f>
        <v>2020</v>
      </c>
      <c r="E5" s="28">
        <f>'Ind T2'!E3</f>
        <v>2025</v>
      </c>
      <c r="F5" s="28">
        <f>'Ind T2'!F3</f>
        <v>2035</v>
      </c>
      <c r="G5" s="11"/>
      <c r="H5" s="51" t="s">
        <v>118</v>
      </c>
      <c r="I5" s="51" t="s">
        <v>119</v>
      </c>
      <c r="J5" s="51" t="s">
        <v>120</v>
      </c>
      <c r="K5" s="11"/>
      <c r="L5" t="str">
        <f t="shared" ref="L5:Q10" si="1">A7</f>
        <v>Primary sector and utilities</v>
      </c>
      <c r="M5" s="11">
        <f t="shared" si="1"/>
        <v>12.683999999999983</v>
      </c>
      <c r="N5" s="11">
        <f t="shared" si="1"/>
        <v>8.5460000000000029</v>
      </c>
      <c r="O5" s="11">
        <f t="shared" si="1"/>
        <v>7.0439999999999952</v>
      </c>
      <c r="P5" s="11">
        <f t="shared" si="1"/>
        <v>7.0899999999999981</v>
      </c>
      <c r="Q5" s="11">
        <f t="shared" si="1"/>
        <v>7.1439999999999904</v>
      </c>
      <c r="R5" s="31">
        <f t="shared" ref="R5:R10" si="2">IF(D$5-B$5 &lt;&gt; 0,(EXP(LN(D7/B7)/(D$5-B$5))-1)*100,0)</f>
        <v>-11.097776560099105</v>
      </c>
      <c r="S5" s="31">
        <f t="shared" si="0"/>
        <v>9.4021859132298324E-2</v>
      </c>
    </row>
    <row r="6" spans="1:19">
      <c r="A6" s="1" t="s">
        <v>113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68.65899999999985</v>
      </c>
      <c r="N6" s="11">
        <f t="shared" si="1"/>
        <v>69.284999999999911</v>
      </c>
      <c r="O6" s="11">
        <f t="shared" si="1"/>
        <v>63.879000000000048</v>
      </c>
      <c r="P6" s="11">
        <f t="shared" si="1"/>
        <v>62.48700000000003</v>
      </c>
      <c r="Q6" s="11">
        <f t="shared" si="1"/>
        <v>56.889999999999958</v>
      </c>
      <c r="R6" s="31">
        <f t="shared" si="2"/>
        <v>-1.4328664326009655</v>
      </c>
      <c r="S6" s="31">
        <f t="shared" si="0"/>
        <v>-0.76949802181702776</v>
      </c>
    </row>
    <row r="7" spans="1:19">
      <c r="A7" t="str">
        <f>name!C4</f>
        <v>Primary sector and utilities</v>
      </c>
      <c r="B7" s="11">
        <f t="array" ref="B7:B12">MMULT(aggregation!$B$3:$W$8,'Ind T2'!B5:B26)</f>
        <v>12.683999999999983</v>
      </c>
      <c r="C7" s="11">
        <f t="array" ref="C7:C12">MMULT(aggregation!$B$3:$W$8,'Ind T2'!C5:C26)</f>
        <v>8.5460000000000029</v>
      </c>
      <c r="D7" s="11">
        <f t="array" ref="D7:D12">MMULT(aggregation!$B$3:$W$8,'Ind T2'!D5:D26)</f>
        <v>7.0439999999999952</v>
      </c>
      <c r="E7" s="11">
        <f t="array" ref="E7:E12">MMULT(aggregation!$B$3:$W$8,'Ind T2'!E5:E26)</f>
        <v>7.0899999999999981</v>
      </c>
      <c r="F7" s="11">
        <f t="array" ref="F7:F12">MMULT(aggregation!$B$3:$W$8,'Ind T2'!F5:F26)</f>
        <v>7.1439999999999904</v>
      </c>
      <c r="G7" s="11"/>
      <c r="H7" s="11">
        <f>F7-D7</f>
        <v>9.9999999999995204E-2</v>
      </c>
      <c r="I7" s="11">
        <f t="array" ref="I7:I12">MMULT(aggregation!$B$3:$W$8,'RD T1'!AB7:AB28)</f>
        <v>3.181115297019645</v>
      </c>
      <c r="J7" s="11">
        <f>SUM(H7:I7)</f>
        <v>3.2811152970196402</v>
      </c>
      <c r="K7" s="11"/>
      <c r="L7" t="str">
        <f t="shared" si="1"/>
        <v>Construction</v>
      </c>
      <c r="M7" s="11">
        <f t="shared" si="1"/>
        <v>31.762999999999966</v>
      </c>
      <c r="N7" s="11">
        <f t="shared" si="1"/>
        <v>39.074999999999896</v>
      </c>
      <c r="O7" s="11">
        <f t="shared" si="1"/>
        <v>37.014999999999908</v>
      </c>
      <c r="P7" s="11">
        <f t="shared" si="1"/>
        <v>36.903999999999947</v>
      </c>
      <c r="Q7" s="11">
        <f t="shared" si="1"/>
        <v>37.449999999999925</v>
      </c>
      <c r="R7" s="31">
        <f>IF(D$5-B$5 &lt;&gt; 0,(EXP(LN(D9/B9)/(D$5-B$5))-1)*100,0)</f>
        <v>3.1077352720810802</v>
      </c>
      <c r="S7" s="31">
        <f t="shared" si="0"/>
        <v>7.7920169124223726E-2</v>
      </c>
    </row>
    <row r="8" spans="1:19">
      <c r="A8" t="str">
        <f>name!C5</f>
        <v>Manufacturing</v>
      </c>
      <c r="B8" s="11">
        <v>68.65899999999985</v>
      </c>
      <c r="C8" s="11">
        <v>69.284999999999911</v>
      </c>
      <c r="D8" s="11">
        <v>63.879000000000048</v>
      </c>
      <c r="E8" s="11">
        <v>62.48700000000003</v>
      </c>
      <c r="F8" s="11">
        <v>56.889999999999958</v>
      </c>
      <c r="G8" s="11"/>
      <c r="H8" s="11">
        <f t="shared" ref="H8:H12" si="3">F8-D8</f>
        <v>-6.9890000000000896</v>
      </c>
      <c r="I8" s="11">
        <v>25.648034318336933</v>
      </c>
      <c r="J8" s="11">
        <f t="shared" ref="J8:J12" si="4">SUM(H8:I8)</f>
        <v>18.659034318336843</v>
      </c>
      <c r="K8" s="11"/>
      <c r="L8" t="str">
        <f t="shared" si="1"/>
        <v>Trade, accomod. and transport</v>
      </c>
      <c r="M8" s="11">
        <f t="shared" si="1"/>
        <v>147.42899999999986</v>
      </c>
      <c r="N8" s="11">
        <f t="shared" si="1"/>
        <v>146.70800000000003</v>
      </c>
      <c r="O8" s="11">
        <f t="shared" si="1"/>
        <v>144.72400000000016</v>
      </c>
      <c r="P8" s="11">
        <f t="shared" si="1"/>
        <v>150.0100000000003</v>
      </c>
      <c r="Q8" s="11">
        <f t="shared" si="1"/>
        <v>155.9559999999997</v>
      </c>
      <c r="R8" s="31">
        <f t="shared" si="2"/>
        <v>-0.36967947018967662</v>
      </c>
      <c r="S8" s="31">
        <f t="shared" si="0"/>
        <v>0.49954649968431131</v>
      </c>
    </row>
    <row r="9" spans="1:19">
      <c r="A9" t="str">
        <f>name!C6</f>
        <v>Construction</v>
      </c>
      <c r="B9" s="11">
        <v>31.762999999999966</v>
      </c>
      <c r="C9" s="11">
        <v>39.074999999999896</v>
      </c>
      <c r="D9" s="11">
        <v>37.014999999999908</v>
      </c>
      <c r="E9" s="11">
        <v>36.903999999999947</v>
      </c>
      <c r="F9" s="11">
        <v>37.449999999999925</v>
      </c>
      <c r="G9" s="11"/>
      <c r="H9" s="11">
        <f t="shared" si="3"/>
        <v>0.43500000000001648</v>
      </c>
      <c r="I9" s="11">
        <v>15.414609290210322</v>
      </c>
      <c r="J9" s="11">
        <f t="shared" si="4"/>
        <v>15.849609290210338</v>
      </c>
      <c r="K9" s="11"/>
      <c r="L9" t="str">
        <f t="shared" si="1"/>
        <v>Business and other services</v>
      </c>
      <c r="M9" s="11">
        <f t="shared" si="1"/>
        <v>123.34700000000012</v>
      </c>
      <c r="N9" s="11">
        <f t="shared" si="1"/>
        <v>113.62800000000009</v>
      </c>
      <c r="O9" s="11">
        <f t="shared" si="1"/>
        <v>111.41800000000002</v>
      </c>
      <c r="P9" s="11">
        <f t="shared" si="1"/>
        <v>113.29000000000006</v>
      </c>
      <c r="Q9" s="11">
        <f t="shared" si="1"/>
        <v>117.91199999999999</v>
      </c>
      <c r="R9" s="31">
        <f t="shared" si="2"/>
        <v>-2.0137012202789295</v>
      </c>
      <c r="S9" s="31">
        <f t="shared" si="0"/>
        <v>0.37837864603122995</v>
      </c>
    </row>
    <row r="10" spans="1:19">
      <c r="A10" t="str">
        <f>name!C7</f>
        <v>Trade, accomod. and transport</v>
      </c>
      <c r="B10" s="11">
        <v>147.42899999999986</v>
      </c>
      <c r="C10" s="11">
        <v>146.70800000000003</v>
      </c>
      <c r="D10" s="11">
        <v>144.72400000000016</v>
      </c>
      <c r="E10" s="11">
        <v>150.0100000000003</v>
      </c>
      <c r="F10" s="11">
        <v>155.9559999999997</v>
      </c>
      <c r="G10" s="11"/>
      <c r="H10" s="11">
        <f t="shared" si="3"/>
        <v>11.231999999999545</v>
      </c>
      <c r="I10" s="11">
        <v>72.094218762955506</v>
      </c>
      <c r="J10" s="11">
        <f t="shared" si="4"/>
        <v>83.326218762955051</v>
      </c>
      <c r="K10" s="11"/>
      <c r="L10" t="str">
        <f t="shared" si="1"/>
        <v>Non-marketed services</v>
      </c>
      <c r="M10" s="11">
        <f t="shared" si="1"/>
        <v>121.68000000000023</v>
      </c>
      <c r="N10" s="11">
        <f t="shared" si="1"/>
        <v>132.68899999999999</v>
      </c>
      <c r="O10" s="11">
        <f t="shared" si="1"/>
        <v>132.11400000000006</v>
      </c>
      <c r="P10" s="11">
        <f t="shared" si="1"/>
        <v>138.34700000000004</v>
      </c>
      <c r="Q10" s="11">
        <f t="shared" si="1"/>
        <v>146.59199999999998</v>
      </c>
      <c r="R10" s="31">
        <f t="shared" si="2"/>
        <v>1.659022200727156</v>
      </c>
      <c r="S10" s="31">
        <f t="shared" si="0"/>
        <v>0.69566210813678531</v>
      </c>
    </row>
    <row r="11" spans="1:19">
      <c r="A11" t="str">
        <f>name!C8</f>
        <v>Business and other services</v>
      </c>
      <c r="B11" s="11">
        <v>123.34700000000012</v>
      </c>
      <c r="C11" s="11">
        <v>113.62800000000009</v>
      </c>
      <c r="D11" s="11">
        <v>111.41800000000002</v>
      </c>
      <c r="E11" s="11">
        <v>113.29000000000006</v>
      </c>
      <c r="F11" s="11">
        <v>117.91199999999999</v>
      </c>
      <c r="G11" s="11"/>
      <c r="H11" s="11">
        <f t="shared" si="3"/>
        <v>6.4939999999999714</v>
      </c>
      <c r="I11" s="11">
        <v>54.18327461296046</v>
      </c>
      <c r="J11" s="11">
        <f t="shared" si="4"/>
        <v>60.677274612960431</v>
      </c>
      <c r="K11" s="11"/>
      <c r="M11" s="11"/>
      <c r="N11" s="11"/>
      <c r="O11" s="11"/>
      <c r="P11" s="11"/>
      <c r="Q11" s="11"/>
      <c r="R11" s="31"/>
      <c r="S11" s="31"/>
    </row>
    <row r="12" spans="1:19">
      <c r="A12" t="str">
        <f>name!C9</f>
        <v>Non-marketed services</v>
      </c>
      <c r="B12" s="11">
        <v>121.68000000000023</v>
      </c>
      <c r="C12" s="11">
        <v>132.68899999999999</v>
      </c>
      <c r="D12" s="11">
        <v>132.11400000000006</v>
      </c>
      <c r="E12" s="11">
        <v>138.34700000000004</v>
      </c>
      <c r="F12" s="11">
        <v>146.59199999999998</v>
      </c>
      <c r="G12" s="11"/>
      <c r="H12" s="11">
        <f t="shared" si="3"/>
        <v>14.477999999999923</v>
      </c>
      <c r="I12" s="11">
        <v>75.196961325384336</v>
      </c>
      <c r="J12" s="11">
        <f t="shared" si="4"/>
        <v>89.67496132538426</v>
      </c>
      <c r="K12" s="11"/>
      <c r="L12" s="22" t="str">
        <f t="shared" ref="L12:Q12" si="5">A14</f>
        <v>All industries</v>
      </c>
      <c r="M12" s="27">
        <f t="shared" si="5"/>
        <v>505.56199999999995</v>
      </c>
      <c r="N12" s="27">
        <f t="shared" si="5"/>
        <v>509.93099999999993</v>
      </c>
      <c r="O12" s="27">
        <f t="shared" si="5"/>
        <v>496.19400000000019</v>
      </c>
      <c r="P12" s="27">
        <f t="shared" si="5"/>
        <v>508.12800000000038</v>
      </c>
      <c r="Q12" s="27">
        <f t="shared" si="5"/>
        <v>521.94399999999951</v>
      </c>
      <c r="R12" s="34">
        <f>IF(D$5-B$5 &lt;&gt; 0,(EXP(LN(D14/B14)/(D$5-B$5))-1)*100,0)</f>
        <v>-0.37337526450474945</v>
      </c>
      <c r="S12" s="34">
        <f>F41</f>
        <v>0.33785827979149197</v>
      </c>
    </row>
    <row r="13" spans="1:19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>
      <c r="A14" s="22" t="str">
        <f>name!C3</f>
        <v>All industries</v>
      </c>
      <c r="B14" s="27">
        <f>SUM(B7:B12)</f>
        <v>505.56199999999995</v>
      </c>
      <c r="C14" s="27">
        <f t="shared" ref="C14:F14" si="6">SUM(C7:C12)</f>
        <v>509.93099999999993</v>
      </c>
      <c r="D14" s="27">
        <f t="shared" si="6"/>
        <v>496.19400000000019</v>
      </c>
      <c r="E14" s="27">
        <f t="shared" si="6"/>
        <v>508.12800000000038</v>
      </c>
      <c r="F14" s="27">
        <f t="shared" si="6"/>
        <v>521.94399999999951</v>
      </c>
      <c r="G14" s="27"/>
      <c r="H14" s="27">
        <f>SUM(H7:H12)</f>
        <v>25.749999999999361</v>
      </c>
      <c r="I14" s="27">
        <f>SUM(I7:I12)</f>
        <v>245.71821360686721</v>
      </c>
      <c r="J14" s="27">
        <f t="shared" ref="J14" si="7">SUM(J7:J12)</f>
        <v>271.46821360686658</v>
      </c>
      <c r="K14" s="11"/>
      <c r="L14" s="11"/>
    </row>
    <row r="15" spans="1:19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>
      <c r="B16" s="11"/>
      <c r="C16" s="11"/>
      <c r="D16" s="11"/>
      <c r="E16" s="11"/>
      <c r="F16" s="11"/>
      <c r="G16" s="322"/>
      <c r="H16" s="17"/>
      <c r="I16" s="17"/>
      <c r="J16" s="323" t="s">
        <v>121</v>
      </c>
      <c r="K16" s="322"/>
      <c r="L16" s="11"/>
    </row>
    <row r="17" spans="1:12">
      <c r="A17" s="29"/>
      <c r="B17" s="53"/>
      <c r="C17" s="53"/>
      <c r="D17" s="53"/>
      <c r="E17" s="53"/>
      <c r="F17" s="53"/>
      <c r="G17" s="322"/>
      <c r="H17" s="24" t="str">
        <f>CONCATENATE(D19,"-",F19)</f>
        <v>2020-2035</v>
      </c>
      <c r="I17" s="29"/>
      <c r="J17" s="29"/>
      <c r="K17" s="322"/>
      <c r="L17" s="11"/>
    </row>
    <row r="18" spans="1:12">
      <c r="B18" s="11"/>
      <c r="C18" s="11"/>
      <c r="D18" s="11"/>
      <c r="E18" s="11"/>
      <c r="F18" s="11"/>
      <c r="G18" s="322"/>
      <c r="H18" s="16" t="s">
        <v>115</v>
      </c>
      <c r="I18" s="16" t="s">
        <v>116</v>
      </c>
      <c r="J18" s="16" t="s">
        <v>117</v>
      </c>
      <c r="K18" s="322"/>
      <c r="L18" s="11"/>
    </row>
    <row r="19" spans="1:12">
      <c r="A19" s="32" t="s">
        <v>122</v>
      </c>
      <c r="B19" s="28">
        <f>B$5</f>
        <v>2015</v>
      </c>
      <c r="C19" s="28">
        <f>C$5</f>
        <v>2019</v>
      </c>
      <c r="D19" s="28">
        <f>D$5</f>
        <v>2020</v>
      </c>
      <c r="E19" s="28">
        <f>E$5</f>
        <v>2025</v>
      </c>
      <c r="F19" s="28">
        <f>F$5</f>
        <v>2035</v>
      </c>
      <c r="G19" s="322"/>
      <c r="H19" s="51" t="s">
        <v>118</v>
      </c>
      <c r="I19" s="51" t="s">
        <v>119</v>
      </c>
      <c r="J19" s="51" t="s">
        <v>120</v>
      </c>
      <c r="K19" s="322"/>
      <c r="L19" s="11"/>
    </row>
    <row r="20" spans="1:12">
      <c r="A20" t="str">
        <f>$A$7</f>
        <v>Primary sector and utilities</v>
      </c>
      <c r="B20" s="322">
        <f t="shared" ref="B20:F25" si="8">B7/B$14*100</f>
        <v>2.5088910954541648</v>
      </c>
      <c r="C20" s="322">
        <f t="shared" si="8"/>
        <v>1.6759130156825148</v>
      </c>
      <c r="D20" s="322">
        <f t="shared" si="8"/>
        <v>1.4196060411855025</v>
      </c>
      <c r="E20" s="322">
        <f t="shared" si="8"/>
        <v>1.3953177152213603</v>
      </c>
      <c r="F20" s="322">
        <f t="shared" si="8"/>
        <v>1.3687292123292913</v>
      </c>
      <c r="G20" s="322"/>
      <c r="H20" s="31">
        <f>IF(D7&gt;0,(H7/D7)*100,0)</f>
        <v>1.4196479273139591</v>
      </c>
      <c r="I20" s="31">
        <f>IF(D7&gt;0,(I7/D7)*100,0)</f>
        <v>45.16063737960885</v>
      </c>
      <c r="J20" s="31">
        <f>IF(D7&gt;0,(J7/D7)*100,0)</f>
        <v>46.580285306922811</v>
      </c>
      <c r="K20" s="322"/>
      <c r="L20" s="11"/>
    </row>
    <row r="21" spans="1:12">
      <c r="A21" t="str">
        <f>$A$8</f>
        <v>Manufacturing</v>
      </c>
      <c r="B21" s="322">
        <f t="shared" si="8"/>
        <v>13.580727981928991</v>
      </c>
      <c r="C21" s="322">
        <f t="shared" si="8"/>
        <v>13.587132376733308</v>
      </c>
      <c r="D21" s="322">
        <f t="shared" si="8"/>
        <v>12.873795330052362</v>
      </c>
      <c r="E21" s="322">
        <f t="shared" si="8"/>
        <v>12.297491970527108</v>
      </c>
      <c r="F21" s="322">
        <f t="shared" si="8"/>
        <v>10.899636742639061</v>
      </c>
      <c r="G21" s="322"/>
      <c r="H21" s="31">
        <f t="shared" ref="H21:H25" si="9">IF(D8&gt;0,(H8/D8)*100,0)</f>
        <v>-10.940997824011154</v>
      </c>
      <c r="I21" s="31">
        <f t="shared" ref="I21:I25" si="10">IF(D8&gt;0,(I8/D8)*100,0)</f>
        <v>40.150964038787265</v>
      </c>
      <c r="J21" s="31">
        <f t="shared" ref="J21:J27" si="11">IF(D8&gt;0,(J8/D8)*100,0)</f>
        <v>29.209966214776106</v>
      </c>
      <c r="K21" s="322"/>
      <c r="L21" s="11"/>
    </row>
    <row r="22" spans="1:12">
      <c r="A22" t="str">
        <f>$A$9</f>
        <v>Construction</v>
      </c>
      <c r="B22" s="322">
        <f t="shared" si="8"/>
        <v>6.2827111214845992</v>
      </c>
      <c r="C22" s="322">
        <f t="shared" si="8"/>
        <v>7.662801437841571</v>
      </c>
      <c r="D22" s="322">
        <f t="shared" si="8"/>
        <v>7.4597838748553773</v>
      </c>
      <c r="E22" s="322">
        <f t="shared" si="8"/>
        <v>7.2627369481705246</v>
      </c>
      <c r="F22" s="322">
        <f t="shared" si="8"/>
        <v>7.1750992443633725</v>
      </c>
      <c r="G22" s="322"/>
      <c r="H22" s="31">
        <f t="shared" si="9"/>
        <v>1.1751992435499596</v>
      </c>
      <c r="I22" s="31">
        <f t="shared" si="10"/>
        <v>41.644223396488883</v>
      </c>
      <c r="J22" s="31">
        <f t="shared" si="11"/>
        <v>42.819422640038844</v>
      </c>
      <c r="K22" s="322"/>
    </row>
    <row r="23" spans="1:12">
      <c r="A23" t="str">
        <f>$A$10</f>
        <v>Trade, accomod. and transport</v>
      </c>
      <c r="B23" s="322">
        <f t="shared" si="8"/>
        <v>29.161408491935681</v>
      </c>
      <c r="C23" s="322">
        <f t="shared" si="8"/>
        <v>28.7701669441552</v>
      </c>
      <c r="D23" s="322">
        <f t="shared" si="8"/>
        <v>29.166817817224739</v>
      </c>
      <c r="E23" s="322">
        <f t="shared" si="8"/>
        <v>29.522088922476264</v>
      </c>
      <c r="F23" s="322">
        <f t="shared" si="8"/>
        <v>29.879833851907456</v>
      </c>
      <c r="G23" s="322"/>
      <c r="H23" s="31">
        <f t="shared" si="9"/>
        <v>7.760979519637055</v>
      </c>
      <c r="I23" s="31">
        <f t="shared" si="10"/>
        <v>49.814971091840626</v>
      </c>
      <c r="J23" s="31">
        <f t="shared" si="11"/>
        <v>57.57595061147768</v>
      </c>
      <c r="K23" s="322"/>
      <c r="L23" s="11"/>
    </row>
    <row r="24" spans="1:12">
      <c r="A24" t="str">
        <f>$A$11</f>
        <v>Business and other services</v>
      </c>
      <c r="B24" s="322">
        <f t="shared" si="8"/>
        <v>24.397996684877448</v>
      </c>
      <c r="C24" s="322">
        <f t="shared" si="8"/>
        <v>22.283014760820603</v>
      </c>
      <c r="D24" s="322">
        <f t="shared" si="8"/>
        <v>22.454523835435332</v>
      </c>
      <c r="E24" s="322">
        <f t="shared" si="8"/>
        <v>22.295563322627366</v>
      </c>
      <c r="F24" s="322">
        <f t="shared" si="8"/>
        <v>22.590929295096814</v>
      </c>
      <c r="G24" s="322"/>
      <c r="H24" s="31">
        <f t="shared" si="9"/>
        <v>5.8285016783643311</v>
      </c>
      <c r="I24" s="31">
        <f t="shared" si="10"/>
        <v>48.63062935339034</v>
      </c>
      <c r="J24" s="31">
        <f t="shared" si="11"/>
        <v>54.459131031754673</v>
      </c>
      <c r="K24" s="322"/>
      <c r="L24" s="11"/>
    </row>
    <row r="25" spans="1:12">
      <c r="A25" t="str">
        <f>$A$12</f>
        <v>Non-marketed services</v>
      </c>
      <c r="B25" s="322">
        <f t="shared" si="8"/>
        <v>24.06826462431912</v>
      </c>
      <c r="C25" s="322">
        <f t="shared" si="8"/>
        <v>26.020971464766806</v>
      </c>
      <c r="D25" s="322">
        <f t="shared" si="8"/>
        <v>26.625473101246694</v>
      </c>
      <c r="E25" s="322">
        <f t="shared" si="8"/>
        <v>27.226801120977377</v>
      </c>
      <c r="F25" s="322">
        <f t="shared" si="8"/>
        <v>28.085771653664015</v>
      </c>
      <c r="G25" s="322"/>
      <c r="H25" s="31">
        <f t="shared" si="9"/>
        <v>10.958717471274745</v>
      </c>
      <c r="I25" s="31">
        <f t="shared" si="10"/>
        <v>56.918238283137526</v>
      </c>
      <c r="J25" s="31">
        <f t="shared" si="11"/>
        <v>67.876955754412265</v>
      </c>
      <c r="K25" s="322"/>
      <c r="L25" s="11"/>
    </row>
    <row r="26" spans="1:12">
      <c r="B26" s="322"/>
      <c r="C26" s="322"/>
      <c r="D26" s="322"/>
      <c r="E26" s="322"/>
      <c r="F26" s="322"/>
      <c r="G26" s="322"/>
      <c r="H26" s="31"/>
      <c r="I26" s="31"/>
      <c r="J26" s="31"/>
      <c r="K26" s="322"/>
      <c r="L26" s="11"/>
    </row>
    <row r="27" spans="1:12">
      <c r="A27" s="22" t="str">
        <f>$A$14</f>
        <v>All industries</v>
      </c>
      <c r="B27" s="361">
        <f>B14/B$14*100</f>
        <v>100</v>
      </c>
      <c r="C27" s="361">
        <f>C14/C$14*100</f>
        <v>100</v>
      </c>
      <c r="D27" s="361">
        <f>D14/D$14*100</f>
        <v>100</v>
      </c>
      <c r="E27" s="361">
        <f>E14/E$14*100</f>
        <v>100</v>
      </c>
      <c r="F27" s="361">
        <f>F14/F$14*100</f>
        <v>100</v>
      </c>
      <c r="G27" s="322"/>
      <c r="H27" s="34">
        <f>IF(D14&gt;0,(H14/D14)*100,0)</f>
        <v>5.1895024929764064</v>
      </c>
      <c r="I27" s="34">
        <f>IF(D14&gt;0,(I14/D14)*100,0)</f>
        <v>49.520593478935076</v>
      </c>
      <c r="J27" s="34">
        <f t="shared" si="11"/>
        <v>54.710095971911485</v>
      </c>
      <c r="K27" s="322"/>
      <c r="L27" s="11"/>
    </row>
    <row r="28" spans="1:12">
      <c r="B28" s="322"/>
      <c r="C28" s="322"/>
      <c r="D28" s="322"/>
      <c r="E28" s="322"/>
      <c r="F28" s="322"/>
    </row>
    <row r="29" spans="1:12">
      <c r="B29" s="322"/>
      <c r="C29" s="322"/>
      <c r="D29" s="322"/>
      <c r="E29" s="322"/>
      <c r="F29" s="322"/>
      <c r="G29" s="19"/>
      <c r="H29" s="19"/>
      <c r="I29" s="19"/>
      <c r="J29" s="19"/>
      <c r="K29" s="19"/>
    </row>
    <row r="30" spans="1:12">
      <c r="B30" s="322"/>
      <c r="C30" s="322"/>
      <c r="D30" s="322"/>
      <c r="E30" s="322"/>
      <c r="F30" s="322"/>
      <c r="G30" s="322"/>
      <c r="H30" s="322"/>
      <c r="I30" s="322"/>
      <c r="J30" s="322"/>
      <c r="K30" s="322"/>
    </row>
    <row r="31" spans="1:12" ht="15.75">
      <c r="A31" s="171" t="str">
        <f>CONCATENATE(A1," (Continued)")</f>
        <v>Industry Table 1  Employment by Industry Sector (SIC 2007), 2015-2035, Black Country (Continued)</v>
      </c>
      <c r="B31" s="322"/>
      <c r="C31" s="322"/>
      <c r="D31" s="322"/>
      <c r="E31" s="322"/>
      <c r="F31" s="322"/>
      <c r="G31" s="322"/>
      <c r="H31" s="322"/>
      <c r="I31" s="322"/>
      <c r="J31" s="322"/>
      <c r="K31" s="322"/>
    </row>
    <row r="32" spans="1:12">
      <c r="G32" s="322"/>
      <c r="H32" s="322"/>
      <c r="I32" s="322"/>
      <c r="J32" s="322"/>
      <c r="K32" s="322"/>
    </row>
    <row r="33" spans="1:11">
      <c r="A33" s="172" t="s">
        <v>123</v>
      </c>
      <c r="B33" s="23" t="str">
        <f>CONCATENATE(B$5,"-",C$5)</f>
        <v>2015-2019</v>
      </c>
      <c r="C33" s="23" t="str">
        <f>CONCATENATE(C$5,"-",D$5)</f>
        <v>2019-2020</v>
      </c>
      <c r="D33" s="23" t="str">
        <f>CONCATENATE(D$5,"-",E$5)</f>
        <v>2020-2025</v>
      </c>
      <c r="E33" s="23" t="str">
        <f>CONCATENATE(E$5,"-",F$5)</f>
        <v>2025-2035</v>
      </c>
      <c r="F33" s="23" t="str">
        <f>CONCATENATE(D$5,"-",F$5)</f>
        <v>2020-2035</v>
      </c>
      <c r="G33" s="322"/>
      <c r="H33" s="322"/>
      <c r="I33" s="322"/>
      <c r="J33" s="322"/>
      <c r="K33" s="322"/>
    </row>
    <row r="34" spans="1:11">
      <c r="A34" t="str">
        <f>$A$7</f>
        <v>Primary sector and utilities</v>
      </c>
      <c r="B34" s="322">
        <f t="shared" ref="B34:E39" si="12">IF(C$5-B$5 &lt;&gt; 0,(EXP(LN(C7/B7)/(C$5-B$5))-1)*100,0)</f>
        <v>-9.4003199917863434</v>
      </c>
      <c r="C34" s="322">
        <f t="shared" si="12"/>
        <v>-17.57547390592098</v>
      </c>
      <c r="D34" s="322">
        <f t="shared" si="12"/>
        <v>0.13026777305011894</v>
      </c>
      <c r="E34" s="322">
        <f t="shared" si="12"/>
        <v>7.5903822684342259E-2</v>
      </c>
      <c r="F34" s="322">
        <f t="shared" ref="F34:F39" si="13">IF(F$5-D$5 &lt;&gt; 0,(EXP(LN(F7/D7)/(F$5-D$5))-1)*100,0)</f>
        <v>9.4021859132298324E-2</v>
      </c>
      <c r="G34" s="322"/>
      <c r="H34" s="322"/>
      <c r="I34" s="322"/>
      <c r="J34" s="322"/>
      <c r="K34" s="322"/>
    </row>
    <row r="35" spans="1:11">
      <c r="A35" t="str">
        <f>$A$8</f>
        <v>Manufacturing</v>
      </c>
      <c r="B35" s="322">
        <f t="shared" si="12"/>
        <v>0.22716285343247211</v>
      </c>
      <c r="C35" s="322">
        <f t="shared" si="12"/>
        <v>-7.8025546655118294</v>
      </c>
      <c r="D35" s="322">
        <f t="shared" si="12"/>
        <v>-0.43967326985788757</v>
      </c>
      <c r="E35" s="322">
        <f t="shared" si="12"/>
        <v>-0.93400042837517017</v>
      </c>
      <c r="F35" s="322">
        <f t="shared" si="13"/>
        <v>-0.76949802181702776</v>
      </c>
      <c r="G35" s="322"/>
      <c r="H35" s="322"/>
      <c r="I35" s="322"/>
      <c r="J35" s="322"/>
      <c r="K35" s="322"/>
    </row>
    <row r="36" spans="1:11">
      <c r="A36" t="str">
        <f>$A$9</f>
        <v>Construction</v>
      </c>
      <c r="B36" s="322">
        <f t="shared" si="12"/>
        <v>5.3160029551780674</v>
      </c>
      <c r="C36" s="322">
        <f t="shared" si="12"/>
        <v>-5.2719129878438746</v>
      </c>
      <c r="D36" s="322">
        <f t="shared" si="12"/>
        <v>-6.0047756904824112E-2</v>
      </c>
      <c r="E36" s="322">
        <f t="shared" si="12"/>
        <v>0.14697554040974392</v>
      </c>
      <c r="F36" s="322">
        <f t="shared" si="13"/>
        <v>7.7920169124223726E-2</v>
      </c>
      <c r="G36" s="322"/>
      <c r="H36" s="322"/>
      <c r="I36" s="322"/>
      <c r="J36" s="322"/>
      <c r="K36" s="322"/>
    </row>
    <row r="37" spans="1:11">
      <c r="A37" t="str">
        <f>$A$10</f>
        <v>Trade, accomod. and transport</v>
      </c>
      <c r="B37" s="322">
        <f t="shared" si="12"/>
        <v>-0.1224871041336506</v>
      </c>
      <c r="C37" s="322">
        <f t="shared" si="12"/>
        <v>-1.3523461569920348</v>
      </c>
      <c r="D37" s="322">
        <f>IF(E$5-D$5 &lt;&gt; 0,(EXP(LN(E10/D10)/(E$5-D$5))-1)*100,0)</f>
        <v>0.7200495444993793</v>
      </c>
      <c r="E37" s="322">
        <f t="shared" si="12"/>
        <v>0.38947607086927682</v>
      </c>
      <c r="F37" s="322">
        <f t="shared" si="13"/>
        <v>0.49954649968431131</v>
      </c>
      <c r="G37" s="322"/>
      <c r="H37" s="322"/>
      <c r="I37" s="322"/>
      <c r="J37" s="322"/>
      <c r="K37" s="322"/>
    </row>
    <row r="38" spans="1:11">
      <c r="A38" t="str">
        <f>$A$11</f>
        <v>Business and other services</v>
      </c>
      <c r="B38" s="322">
        <f t="shared" si="12"/>
        <v>-2.0308832035628277</v>
      </c>
      <c r="C38" s="322">
        <f t="shared" si="12"/>
        <v>-1.9449431478157364</v>
      </c>
      <c r="D38" s="322">
        <f t="shared" si="12"/>
        <v>0.33379603338987707</v>
      </c>
      <c r="E38" s="322">
        <f t="shared" si="12"/>
        <v>0.40067738054005986</v>
      </c>
      <c r="F38" s="322">
        <f t="shared" si="13"/>
        <v>0.37837864603122995</v>
      </c>
      <c r="G38" s="322"/>
      <c r="H38" s="322"/>
      <c r="I38" s="322"/>
      <c r="J38" s="322"/>
      <c r="K38" s="322"/>
    </row>
    <row r="39" spans="1:11">
      <c r="A39" t="str">
        <f>$A$12</f>
        <v>Non-marketed services</v>
      </c>
      <c r="B39" s="322">
        <f t="shared" si="12"/>
        <v>2.1889484105768631</v>
      </c>
      <c r="C39" s="322">
        <f t="shared" si="12"/>
        <v>-0.4333441355349188</v>
      </c>
      <c r="D39" s="322">
        <f t="shared" si="12"/>
        <v>0.92626019532746628</v>
      </c>
      <c r="E39" s="322">
        <f t="shared" si="12"/>
        <v>0.58056071780008267</v>
      </c>
      <c r="F39" s="322">
        <f t="shared" si="13"/>
        <v>0.69566210813678531</v>
      </c>
    </row>
    <row r="40" spans="1:11">
      <c r="B40" s="322"/>
      <c r="C40" s="322"/>
      <c r="D40" s="322"/>
      <c r="E40" s="322"/>
      <c r="F40" s="322"/>
      <c r="G40" s="19"/>
      <c r="H40" s="19"/>
      <c r="I40" s="19"/>
      <c r="J40" s="19"/>
      <c r="K40" s="19"/>
    </row>
    <row r="41" spans="1:11">
      <c r="A41" t="str">
        <f>$A$14</f>
        <v>All industries</v>
      </c>
      <c r="B41" s="322">
        <f>IF(C$5-B$5 &lt;&gt; 0,(EXP(LN(C14/B14)/(C$5-B$5))-1)*100,0)</f>
        <v>0.21535006256829803</v>
      </c>
      <c r="C41" s="322">
        <f>IF(D$5-C$5 &lt;&gt; 0,(EXP(LN(D14/C14)/(D$5-C$5))-1)*100,0)</f>
        <v>-2.6938938797601564</v>
      </c>
      <c r="D41" s="322">
        <f>IF(E$5-D$5 &lt;&gt; 0,(EXP(LN(E14/D14)/(E$5-D$5))-1)*100,0)</f>
        <v>0.47645957720001686</v>
      </c>
      <c r="E41" s="322">
        <f>IF(F$5-E$5 &lt;&gt; 0,(EXP(LN(F14/E14)/(F$5-E$5))-1)*100,0)</f>
        <v>0.26862934467042354</v>
      </c>
      <c r="F41" s="322">
        <f>IF(F$5-D$5 &lt;&gt; 0,(EXP(LN(F14/D14)/(F$5-D$5))-1)*100,0)</f>
        <v>0.33785827979149197</v>
      </c>
      <c r="G41" s="225"/>
      <c r="H41" s="225"/>
      <c r="I41" s="225"/>
      <c r="J41" s="225"/>
      <c r="K41" s="225"/>
    </row>
    <row r="42" spans="1:11">
      <c r="B42" s="322"/>
      <c r="C42" s="322"/>
      <c r="D42" s="322"/>
      <c r="E42" s="322"/>
      <c r="F42" s="322"/>
      <c r="G42" s="225"/>
      <c r="H42" s="225"/>
      <c r="I42" s="225"/>
      <c r="J42" s="225"/>
      <c r="K42" s="225"/>
    </row>
    <row r="43" spans="1:11">
      <c r="G43" s="225"/>
      <c r="H43" s="225"/>
      <c r="I43" s="225"/>
      <c r="J43" s="225"/>
      <c r="K43" s="225"/>
    </row>
    <row r="44" spans="1:11">
      <c r="A44" s="1" t="s">
        <v>124</v>
      </c>
      <c r="B44" s="19" t="str">
        <f>CONCATENATE(B$5,"-",C$5)</f>
        <v>2015-2019</v>
      </c>
      <c r="C44" s="19" t="str">
        <f>CONCATENATE(C$5,"-",D$5)</f>
        <v>2019-2020</v>
      </c>
      <c r="D44" s="19" t="str">
        <f>CONCATENATE(D$5,"-",E$5)</f>
        <v>2020-2025</v>
      </c>
      <c r="E44" s="19" t="str">
        <f>CONCATENATE(E$5,"-",F$5)</f>
        <v>2025-2035</v>
      </c>
      <c r="F44" s="19" t="str">
        <f>CONCATENATE(D$5,"-",F$5)</f>
        <v>2020-2035</v>
      </c>
      <c r="G44" s="225"/>
      <c r="H44" s="225"/>
      <c r="I44" s="225"/>
      <c r="J44" s="225"/>
      <c r="K44" s="225"/>
    </row>
    <row r="45" spans="1:11">
      <c r="A45" t="str">
        <f>$A$7</f>
        <v>Primary sector and utilities</v>
      </c>
      <c r="B45" s="225">
        <f>C7-B7</f>
        <v>-4.1379999999999804</v>
      </c>
      <c r="C45" s="225">
        <f>D7-C7</f>
        <v>-1.5020000000000078</v>
      </c>
      <c r="D45" s="225">
        <f>E7-D7</f>
        <v>4.6000000000002927E-2</v>
      </c>
      <c r="E45" s="225">
        <f>F7-E7</f>
        <v>5.3999999999992276E-2</v>
      </c>
      <c r="F45" s="225">
        <f>F7-D7</f>
        <v>9.9999999999995204E-2</v>
      </c>
      <c r="G45" s="225"/>
      <c r="H45" s="225"/>
      <c r="I45" s="225"/>
      <c r="J45" s="225"/>
      <c r="K45" s="225"/>
    </row>
    <row r="46" spans="1:11">
      <c r="A46" t="str">
        <f>$A$8</f>
        <v>Manufacturing</v>
      </c>
      <c r="B46" s="225">
        <f t="shared" ref="B46:E52" si="14">C8-B8</f>
        <v>0.62600000000006162</v>
      </c>
      <c r="C46" s="225">
        <f>D8-C8</f>
        <v>-5.4059999999998638</v>
      </c>
      <c r="D46" s="225">
        <f t="shared" si="14"/>
        <v>-1.3920000000000172</v>
      </c>
      <c r="E46" s="225">
        <f t="shared" si="14"/>
        <v>-5.5970000000000724</v>
      </c>
      <c r="F46" s="225">
        <f t="shared" ref="F46:F52" si="15">F8-D8</f>
        <v>-6.9890000000000896</v>
      </c>
      <c r="G46" s="225"/>
      <c r="H46" s="225"/>
      <c r="I46" s="225"/>
      <c r="J46" s="225"/>
      <c r="K46" s="225"/>
    </row>
    <row r="47" spans="1:11">
      <c r="A47" t="str">
        <f>$A$9</f>
        <v>Construction</v>
      </c>
      <c r="B47" s="225">
        <f t="shared" si="14"/>
        <v>7.3119999999999301</v>
      </c>
      <c r="C47" s="225">
        <f t="shared" ref="C47:C50" si="16">D9-C9</f>
        <v>-2.0599999999999881</v>
      </c>
      <c r="D47" s="225">
        <f t="shared" si="14"/>
        <v>-0.11099999999996157</v>
      </c>
      <c r="E47" s="225">
        <f t="shared" si="14"/>
        <v>0.54599999999997806</v>
      </c>
      <c r="F47" s="225">
        <f t="shared" si="15"/>
        <v>0.43500000000001648</v>
      </c>
      <c r="G47" s="225"/>
      <c r="H47" s="225"/>
      <c r="I47" s="225"/>
      <c r="J47" s="225"/>
      <c r="K47" s="225"/>
    </row>
    <row r="48" spans="1:11">
      <c r="A48" t="str">
        <f>$A$10</f>
        <v>Trade, accomod. and transport</v>
      </c>
      <c r="B48" s="225">
        <f t="shared" si="14"/>
        <v>-0.72099999999983311</v>
      </c>
      <c r="C48" s="225">
        <f t="shared" si="16"/>
        <v>-1.9839999999998668</v>
      </c>
      <c r="D48" s="225">
        <f t="shared" si="14"/>
        <v>5.2860000000001435</v>
      </c>
      <c r="E48" s="225">
        <f t="shared" si="14"/>
        <v>5.9459999999994011</v>
      </c>
      <c r="F48" s="225">
        <f t="shared" si="15"/>
        <v>11.231999999999545</v>
      </c>
      <c r="G48" s="225"/>
      <c r="H48" s="225"/>
      <c r="I48" s="225"/>
      <c r="J48" s="225"/>
      <c r="K48" s="225"/>
    </row>
    <row r="49" spans="1:6">
      <c r="A49" t="str">
        <f>$A$11</f>
        <v>Business and other services</v>
      </c>
      <c r="B49" s="225">
        <f t="shared" si="14"/>
        <v>-9.7190000000000367</v>
      </c>
      <c r="C49" s="225">
        <f t="shared" si="16"/>
        <v>-2.2100000000000648</v>
      </c>
      <c r="D49" s="225">
        <f t="shared" si="14"/>
        <v>1.8720000000000425</v>
      </c>
      <c r="E49" s="225">
        <f t="shared" si="14"/>
        <v>4.6219999999999288</v>
      </c>
      <c r="F49" s="225">
        <f t="shared" si="15"/>
        <v>6.4939999999999714</v>
      </c>
    </row>
    <row r="50" spans="1:6">
      <c r="A50" t="str">
        <f>$A$12</f>
        <v>Non-marketed services</v>
      </c>
      <c r="B50" s="225">
        <f t="shared" si="14"/>
        <v>11.008999999999759</v>
      </c>
      <c r="C50" s="225">
        <f t="shared" si="16"/>
        <v>-0.57499999999993179</v>
      </c>
      <c r="D50" s="225">
        <f t="shared" si="14"/>
        <v>6.2329999999999757</v>
      </c>
      <c r="E50" s="225">
        <f t="shared" si="14"/>
        <v>8.2449999999999477</v>
      </c>
      <c r="F50" s="225">
        <f t="shared" si="15"/>
        <v>14.477999999999923</v>
      </c>
    </row>
    <row r="51" spans="1:6">
      <c r="B51" s="225"/>
      <c r="C51" s="225"/>
      <c r="D51" s="225"/>
      <c r="E51" s="225"/>
      <c r="F51" s="225"/>
    </row>
    <row r="52" spans="1:6">
      <c r="A52" s="22" t="str">
        <f>$A$14</f>
        <v>All industries</v>
      </c>
      <c r="B52" s="362">
        <f>C14-B14</f>
        <v>4.3689999999999714</v>
      </c>
      <c r="C52" s="362">
        <f>D14-C14</f>
        <v>-13.736999999999739</v>
      </c>
      <c r="D52" s="362">
        <f t="shared" si="14"/>
        <v>11.934000000000196</v>
      </c>
      <c r="E52" s="362">
        <f t="shared" si="14"/>
        <v>13.815999999999121</v>
      </c>
      <c r="F52" s="362">
        <f t="shared" si="15"/>
        <v>25.749999999999318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/>
  <cols>
    <col min="1" max="1" width="25.140625" customWidth="1"/>
    <col min="2" max="6" width="11.7109375" customWidth="1"/>
  </cols>
  <sheetData>
    <row r="1" spans="1:7" ht="15.75">
      <c r="A1" s="18" t="str">
        <f>CONCATENATE("Industry Table 2  Employment by Industry Group (SIC 2007), ",B$3,"-",F$3,", ",Info!B5)</f>
        <v>Industry Table 2  Employment by Industry Group (SIC 2007), 2015-2035, Black Country</v>
      </c>
    </row>
    <row r="2" spans="1:7">
      <c r="A2" s="1" t="s">
        <v>125</v>
      </c>
    </row>
    <row r="3" spans="1:7">
      <c r="A3" s="20"/>
      <c r="B3" s="21">
        <v>2015</v>
      </c>
      <c r="C3" s="21">
        <v>2019</v>
      </c>
      <c r="D3" s="21">
        <v>2020</v>
      </c>
      <c r="E3" s="21">
        <v>2025</v>
      </c>
      <c r="F3" s="21">
        <v>2035</v>
      </c>
    </row>
    <row r="4" spans="1:7">
      <c r="A4" s="1" t="s">
        <v>113</v>
      </c>
    </row>
    <row r="5" spans="1:7">
      <c r="A5" s="10" t="str">
        <f>name!B4</f>
        <v>Agriculture</v>
      </c>
      <c r="B5" s="11">
        <v>2.9649999999999994</v>
      </c>
      <c r="C5" s="11">
        <v>2.2860000000000018</v>
      </c>
      <c r="D5" s="11">
        <v>1.1150000000000004</v>
      </c>
      <c r="E5" s="11">
        <v>1.2120000000000004</v>
      </c>
      <c r="F5" s="11">
        <v>1.214999999999997</v>
      </c>
      <c r="G5" s="10"/>
    </row>
    <row r="6" spans="1:7">
      <c r="A6" s="10" t="str">
        <f>name!B5</f>
        <v>Mining and quarrying</v>
      </c>
      <c r="B6" s="11">
        <v>0.16200000000000025</v>
      </c>
      <c r="C6" s="11">
        <v>0.14499999999999991</v>
      </c>
      <c r="D6" s="11">
        <v>0.15500000000000022</v>
      </c>
      <c r="E6" s="11">
        <v>0.10899999999999997</v>
      </c>
      <c r="F6" s="11">
        <v>6.2999999999999945E-2</v>
      </c>
    </row>
    <row r="7" spans="1:7">
      <c r="A7" s="10" t="str">
        <f>name!B6</f>
        <v>Food drink and tobacco</v>
      </c>
      <c r="B7" s="11">
        <v>7.0119999999999845</v>
      </c>
      <c r="C7" s="11">
        <v>6.3419999999999961</v>
      </c>
      <c r="D7" s="11">
        <v>6.2970000000000033</v>
      </c>
      <c r="E7" s="11">
        <v>6.3359999999999985</v>
      </c>
      <c r="F7" s="11">
        <v>6.1889999999999805</v>
      </c>
      <c r="G7" s="11"/>
    </row>
    <row r="8" spans="1:7">
      <c r="A8" s="10" t="str">
        <f>name!B7</f>
        <v>Engineering</v>
      </c>
      <c r="B8" s="11">
        <v>6.9600000000000088</v>
      </c>
      <c r="C8" s="11">
        <v>8.166999999999998</v>
      </c>
      <c r="D8" s="11">
        <v>7.4149999999999814</v>
      </c>
      <c r="E8" s="11">
        <v>7.8680000000000101</v>
      </c>
      <c r="F8" s="11">
        <v>7.0909999999999993</v>
      </c>
      <c r="G8" s="11"/>
    </row>
    <row r="9" spans="1:7">
      <c r="A9" s="10" t="str">
        <f>name!B8</f>
        <v>Rest of manufacturing</v>
      </c>
      <c r="B9" s="11">
        <v>54.686999999999863</v>
      </c>
      <c r="C9" s="11">
        <v>54.775999999999925</v>
      </c>
      <c r="D9" s="11">
        <v>50.167000000000066</v>
      </c>
      <c r="E9" s="11">
        <v>48.283000000000023</v>
      </c>
      <c r="F9" s="11">
        <v>43.609999999999978</v>
      </c>
      <c r="G9" s="11"/>
    </row>
    <row r="10" spans="1:7">
      <c r="A10" s="10" t="str">
        <f>name!B9</f>
        <v>Electricity and gas</v>
      </c>
      <c r="B10" s="11">
        <v>5.225000000000005</v>
      </c>
      <c r="C10" s="11">
        <v>1.7090000000000003</v>
      </c>
      <c r="D10" s="11">
        <v>1.9709999999999988</v>
      </c>
      <c r="E10" s="11">
        <v>1.8559999999999983</v>
      </c>
      <c r="F10" s="11">
        <v>1.8180000000000041</v>
      </c>
      <c r="G10" s="11"/>
    </row>
    <row r="11" spans="1:7">
      <c r="A11" s="10" t="str">
        <f>name!B10</f>
        <v>Water and sewerage</v>
      </c>
      <c r="B11" s="11">
        <v>4.3319999999999785</v>
      </c>
      <c r="C11" s="11">
        <v>4.4060000000000006</v>
      </c>
      <c r="D11" s="11">
        <v>3.8029999999999959</v>
      </c>
      <c r="E11" s="11">
        <v>3.9129999999999989</v>
      </c>
      <c r="F11" s="11">
        <v>4.0479999999999894</v>
      </c>
      <c r="G11" s="11"/>
    </row>
    <row r="12" spans="1:7">
      <c r="A12" s="10" t="str">
        <f>name!B11</f>
        <v>Construction</v>
      </c>
      <c r="B12" s="11">
        <v>31.762999999999966</v>
      </c>
      <c r="C12" s="11">
        <v>39.074999999999896</v>
      </c>
      <c r="D12" s="11">
        <v>37.014999999999908</v>
      </c>
      <c r="E12" s="11">
        <v>36.903999999999947</v>
      </c>
      <c r="F12" s="11">
        <v>37.449999999999925</v>
      </c>
      <c r="G12" s="11"/>
    </row>
    <row r="13" spans="1:7">
      <c r="A13" s="10" t="str">
        <f>name!B12</f>
        <v>Wholesale and retail trade</v>
      </c>
      <c r="B13" s="11">
        <v>92.065999999999903</v>
      </c>
      <c r="C13" s="11">
        <v>88.56</v>
      </c>
      <c r="D13" s="11">
        <v>87.074000000000183</v>
      </c>
      <c r="E13" s="11">
        <v>87.879000000000161</v>
      </c>
      <c r="F13" s="11">
        <v>88.842999999999677</v>
      </c>
      <c r="G13" s="11"/>
    </row>
    <row r="14" spans="1:7">
      <c r="A14" s="10" t="str">
        <f>name!B13</f>
        <v>Transport and storage</v>
      </c>
      <c r="B14" s="11">
        <v>33.456999999999994</v>
      </c>
      <c r="C14" s="11">
        <v>34.173000000000059</v>
      </c>
      <c r="D14" s="11">
        <v>32.947999999999944</v>
      </c>
      <c r="E14" s="11">
        <v>35.964000000000077</v>
      </c>
      <c r="F14" s="11">
        <v>37.761000000000067</v>
      </c>
      <c r="G14" s="11"/>
    </row>
    <row r="15" spans="1:7">
      <c r="A15" s="10" t="str">
        <f>name!B14</f>
        <v>Accommodation and food</v>
      </c>
      <c r="B15" s="11">
        <v>21.905999999999963</v>
      </c>
      <c r="C15" s="11">
        <v>23.974999999999959</v>
      </c>
      <c r="D15" s="11">
        <v>24.702000000000027</v>
      </c>
      <c r="E15" s="11">
        <v>26.167000000000062</v>
      </c>
      <c r="F15" s="11">
        <v>29.351999999999972</v>
      </c>
      <c r="G15" s="11"/>
    </row>
    <row r="16" spans="1:7">
      <c r="A16" s="10" t="str">
        <f>name!B15</f>
        <v>Media</v>
      </c>
      <c r="B16" s="11">
        <v>1.7079999999999989</v>
      </c>
      <c r="C16" s="11">
        <v>1.8249999999999982</v>
      </c>
      <c r="D16" s="11">
        <v>2.1099999999999994</v>
      </c>
      <c r="E16" s="11">
        <v>2.0780000000000038</v>
      </c>
      <c r="F16" s="11">
        <v>2.105999999999995</v>
      </c>
      <c r="G16" s="11"/>
    </row>
    <row r="17" spans="1:7">
      <c r="A17" s="10" t="str">
        <f>name!B16</f>
        <v>Information technology</v>
      </c>
      <c r="B17" s="11">
        <v>6.5380000000000287</v>
      </c>
      <c r="C17" s="11">
        <v>6.394000000000017</v>
      </c>
      <c r="D17" s="11">
        <v>6.8729999999999887</v>
      </c>
      <c r="E17" s="11">
        <v>7.1499999999999702</v>
      </c>
      <c r="F17" s="11">
        <v>7.3899999999999935</v>
      </c>
      <c r="G17" s="11"/>
    </row>
    <row r="18" spans="1:7">
      <c r="A18" s="10" t="str">
        <f>name!B17</f>
        <v>Finance and insurance</v>
      </c>
      <c r="B18" s="11">
        <v>10.219000000000021</v>
      </c>
      <c r="C18" s="11">
        <v>10.284000000000029</v>
      </c>
      <c r="D18" s="11">
        <v>10.441000000000011</v>
      </c>
      <c r="E18" s="11">
        <v>10.453999999999997</v>
      </c>
      <c r="F18" s="11">
        <v>10.054000000000002</v>
      </c>
      <c r="G18" s="11"/>
    </row>
    <row r="19" spans="1:7">
      <c r="A19" s="10" t="str">
        <f>name!B18</f>
        <v>Real estate</v>
      </c>
      <c r="B19" s="11">
        <v>7.7230000000000008</v>
      </c>
      <c r="C19" s="11">
        <v>10.185000000000009</v>
      </c>
      <c r="D19" s="11">
        <v>10.240000000000016</v>
      </c>
      <c r="E19" s="11">
        <v>10.307999999999979</v>
      </c>
      <c r="F19" s="11">
        <v>11.238000000000005</v>
      </c>
      <c r="G19" s="11"/>
    </row>
    <row r="20" spans="1:7">
      <c r="A20" s="10" t="str">
        <f>name!B19</f>
        <v>Professional services</v>
      </c>
      <c r="B20" s="11">
        <v>28.591999999999977</v>
      </c>
      <c r="C20" s="11">
        <v>24.793999999999993</v>
      </c>
      <c r="D20" s="11">
        <v>24.728999999999964</v>
      </c>
      <c r="E20" s="11">
        <v>25.556000000000012</v>
      </c>
      <c r="F20" s="11">
        <v>26.893000000000079</v>
      </c>
      <c r="G20" s="11"/>
    </row>
    <row r="21" spans="1:7">
      <c r="A21" s="10" t="str">
        <f>name!B20</f>
        <v>Support services</v>
      </c>
      <c r="B21" s="11">
        <v>40.241000000000078</v>
      </c>
      <c r="C21" s="11">
        <v>34.294000000000032</v>
      </c>
      <c r="D21" s="11">
        <v>32.168000000000021</v>
      </c>
      <c r="E21" s="11">
        <v>33.855000000000089</v>
      </c>
      <c r="F21" s="11">
        <v>35.682999999999957</v>
      </c>
      <c r="G21" s="11"/>
    </row>
    <row r="22" spans="1:7">
      <c r="A22" s="10" t="str">
        <f>name!B21</f>
        <v>Public admin. and defence</v>
      </c>
      <c r="B22" s="11">
        <v>16.002999999999975</v>
      </c>
      <c r="C22" s="11">
        <v>15.454000000000013</v>
      </c>
      <c r="D22" s="11">
        <v>15.280999999999985</v>
      </c>
      <c r="E22" s="11">
        <v>15.55399999999999</v>
      </c>
      <c r="F22" s="11">
        <v>16.224999999999966</v>
      </c>
      <c r="G22" s="11"/>
    </row>
    <row r="23" spans="1:7">
      <c r="A23" s="10" t="str">
        <f>name!B22</f>
        <v>Education</v>
      </c>
      <c r="B23" s="11">
        <v>44.810000000000123</v>
      </c>
      <c r="C23" s="11">
        <v>44.405000000000058</v>
      </c>
      <c r="D23" s="11">
        <v>45.063000000000045</v>
      </c>
      <c r="E23" s="11">
        <v>46.277999999999977</v>
      </c>
      <c r="F23" s="11">
        <v>49.163999999999959</v>
      </c>
      <c r="G23" s="11"/>
    </row>
    <row r="24" spans="1:7">
      <c r="A24" s="10" t="str">
        <f>name!B23</f>
        <v>Health and social work</v>
      </c>
      <c r="B24" s="11">
        <v>60.867000000000125</v>
      </c>
      <c r="C24" s="11">
        <v>72.829999999999927</v>
      </c>
      <c r="D24" s="11">
        <v>71.770000000000039</v>
      </c>
      <c r="E24" s="11">
        <v>76.515000000000086</v>
      </c>
      <c r="F24" s="11">
        <v>81.203000000000074</v>
      </c>
      <c r="G24" s="11"/>
    </row>
    <row r="25" spans="1:7">
      <c r="A25" s="10" t="str">
        <f>name!B24</f>
        <v>Arts and entertainment</v>
      </c>
      <c r="B25" s="11">
        <v>11.902000000000012</v>
      </c>
      <c r="C25" s="11">
        <v>12.170000000000012</v>
      </c>
      <c r="D25" s="11">
        <v>11.910000000000011</v>
      </c>
      <c r="E25" s="11">
        <v>11.284999999999984</v>
      </c>
      <c r="F25" s="11">
        <v>11.952999999999991</v>
      </c>
      <c r="G25" s="11"/>
    </row>
    <row r="26" spans="1:7">
      <c r="A26" s="10" t="str">
        <f>name!B25</f>
        <v>Other services</v>
      </c>
      <c r="B26" s="11">
        <v>16.423999999999999</v>
      </c>
      <c r="C26" s="11">
        <v>13.682000000000006</v>
      </c>
      <c r="D26" s="11">
        <v>12.947000000000006</v>
      </c>
      <c r="E26" s="11">
        <v>12.604000000000022</v>
      </c>
      <c r="F26" s="11">
        <v>12.594999999999967</v>
      </c>
      <c r="G26" s="11"/>
    </row>
    <row r="27" spans="1:7">
      <c r="B27" s="11"/>
      <c r="C27" s="11"/>
      <c r="D27" s="11"/>
      <c r="E27" s="11"/>
      <c r="F27" s="11"/>
      <c r="G27" s="11"/>
    </row>
    <row r="28" spans="1:7">
      <c r="A28" s="10" t="str">
        <f>name!B3</f>
        <v>All industries</v>
      </c>
      <c r="B28" s="11">
        <f>SUM(B5:B26)</f>
        <v>505.56200000000001</v>
      </c>
      <c r="C28" s="11">
        <f t="shared" ref="C28:F28" si="0">SUM(C5:C26)</f>
        <v>509.93099999999998</v>
      </c>
      <c r="D28" s="11">
        <f t="shared" si="0"/>
        <v>496.19400000000024</v>
      </c>
      <c r="E28" s="11">
        <f t="shared" si="0"/>
        <v>508.12800000000038</v>
      </c>
      <c r="F28" s="11">
        <f t="shared" si="0"/>
        <v>521.94399999999951</v>
      </c>
      <c r="G28" s="11"/>
    </row>
    <row r="29" spans="1:7">
      <c r="B29" s="11"/>
      <c r="C29" s="11"/>
      <c r="D29" s="11"/>
      <c r="E29" s="11"/>
      <c r="F29" s="11"/>
      <c r="G29" s="11"/>
    </row>
    <row r="31" spans="1:7">
      <c r="A31" s="1" t="s">
        <v>122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>
      <c r="A32" t="str">
        <f>$A$5</f>
        <v>Agriculture</v>
      </c>
      <c r="B32" s="322">
        <f>B5/B$28*100</f>
        <v>0.58647604052519753</v>
      </c>
      <c r="C32" s="322">
        <f t="shared" ref="C32:E32" si="1">C5/C$28*100</f>
        <v>0.44829594592209571</v>
      </c>
      <c r="D32" s="322">
        <f t="shared" si="1"/>
        <v>0.22471049629781895</v>
      </c>
      <c r="E32" s="322">
        <f t="shared" si="1"/>
        <v>0.23852257698847526</v>
      </c>
      <c r="F32" s="322">
        <f>F5/F$28*100</f>
        <v>0.23278359364222947</v>
      </c>
    </row>
    <row r="33" spans="1:6">
      <c r="A33" t="str">
        <f>$A$6</f>
        <v>Mining and quarrying</v>
      </c>
      <c r="B33" s="322">
        <f t="shared" ref="B33:F53" si="2">B6/B$28*100</f>
        <v>3.2043547576756218E-2</v>
      </c>
      <c r="C33" s="322">
        <f t="shared" si="2"/>
        <v>2.8435219666974536E-2</v>
      </c>
      <c r="D33" s="322">
        <f t="shared" si="2"/>
        <v>3.1237781996557825E-2</v>
      </c>
      <c r="E33" s="322">
        <f t="shared" si="2"/>
        <v>2.1451287864475071E-2</v>
      </c>
      <c r="F33" s="322">
        <f t="shared" si="2"/>
        <v>1.2070260411078584E-2</v>
      </c>
    </row>
    <row r="34" spans="1:6">
      <c r="A34" t="str">
        <f>$A$7</f>
        <v>Food drink and tobacco</v>
      </c>
      <c r="B34" s="322">
        <f t="shared" si="2"/>
        <v>1.3869713309148994</v>
      </c>
      <c r="C34" s="322">
        <f t="shared" si="2"/>
        <v>1.2436976767445</v>
      </c>
      <c r="D34" s="322">
        <f t="shared" si="2"/>
        <v>1.2690600853698351</v>
      </c>
      <c r="E34" s="322">
        <f t="shared" si="2"/>
        <v>1.2469299074248996</v>
      </c>
      <c r="F34" s="322">
        <f t="shared" si="2"/>
        <v>1.1857593918121458</v>
      </c>
    </row>
    <row r="35" spans="1:6">
      <c r="A35" t="str">
        <f>$A$8</f>
        <v>Engineering</v>
      </c>
      <c r="B35" s="322">
        <f t="shared" si="2"/>
        <v>1.3766857477421184</v>
      </c>
      <c r="C35" s="322">
        <f t="shared" si="2"/>
        <v>1.6015892346219387</v>
      </c>
      <c r="D35" s="322">
        <f t="shared" si="2"/>
        <v>1.4943751838998411</v>
      </c>
      <c r="E35" s="322">
        <f t="shared" si="2"/>
        <v>1.5484287423641294</v>
      </c>
      <c r="F35" s="322">
        <f t="shared" si="2"/>
        <v>1.3585748662691794</v>
      </c>
    </row>
    <row r="36" spans="1:6">
      <c r="A36" t="str">
        <f>$A$9</f>
        <v>Rest of manufacturing</v>
      </c>
      <c r="B36" s="322">
        <f t="shared" si="2"/>
        <v>10.817070903271976</v>
      </c>
      <c r="C36" s="322">
        <f t="shared" si="2"/>
        <v>10.741845465366868</v>
      </c>
      <c r="D36" s="322">
        <f t="shared" si="2"/>
        <v>10.110360060782686</v>
      </c>
      <c r="E36" s="322">
        <f t="shared" si="2"/>
        <v>9.5021333207380785</v>
      </c>
      <c r="F36" s="322">
        <f t="shared" si="2"/>
        <v>8.3553024845577326</v>
      </c>
    </row>
    <row r="37" spans="1:6">
      <c r="A37" t="str">
        <f>$A$10</f>
        <v>Electricity and gas</v>
      </c>
      <c r="B37" s="322">
        <f t="shared" si="2"/>
        <v>1.033503309188587</v>
      </c>
      <c r="C37" s="322">
        <f t="shared" si="2"/>
        <v>0.33514338214385875</v>
      </c>
      <c r="D37" s="322">
        <f t="shared" si="2"/>
        <v>0.39722366654977642</v>
      </c>
      <c r="E37" s="322">
        <f t="shared" si="2"/>
        <v>0.36526229611436428</v>
      </c>
      <c r="F37" s="322">
        <f t="shared" si="2"/>
        <v>0.34831322900541167</v>
      </c>
    </row>
    <row r="38" spans="1:6">
      <c r="A38" t="str">
        <f>$A$11</f>
        <v>Water and sewerage</v>
      </c>
      <c r="B38" s="322">
        <f t="shared" si="2"/>
        <v>0.85686819816362358</v>
      </c>
      <c r="C38" s="322">
        <f t="shared" si="2"/>
        <v>0.8640384679495855</v>
      </c>
      <c r="D38" s="322">
        <f t="shared" si="2"/>
        <v>0.76643409634134918</v>
      </c>
      <c r="E38" s="322">
        <f t="shared" si="2"/>
        <v>0.77008155425404545</v>
      </c>
      <c r="F38" s="322">
        <f t="shared" si="2"/>
        <v>0.77556212927057178</v>
      </c>
    </row>
    <row r="39" spans="1:6">
      <c r="A39" t="str">
        <f>$A$12</f>
        <v>Construction</v>
      </c>
      <c r="B39" s="322">
        <f t="shared" si="2"/>
        <v>6.2827111214845983</v>
      </c>
      <c r="C39" s="322">
        <f t="shared" si="2"/>
        <v>7.6628014378415692</v>
      </c>
      <c r="D39" s="322">
        <f t="shared" si="2"/>
        <v>7.4597838748553773</v>
      </c>
      <c r="E39" s="322">
        <f t="shared" si="2"/>
        <v>7.2627369481705246</v>
      </c>
      <c r="F39" s="322">
        <f t="shared" si="2"/>
        <v>7.1750992443633725</v>
      </c>
    </row>
    <row r="40" spans="1:6">
      <c r="A40" t="str">
        <f>$A$13</f>
        <v>Wholesale and retail trade</v>
      </c>
      <c r="B40" s="322">
        <f t="shared" si="2"/>
        <v>18.21062500741747</v>
      </c>
      <c r="C40" s="322">
        <f t="shared" si="2"/>
        <v>17.367055542808735</v>
      </c>
      <c r="D40" s="322">
        <f t="shared" si="2"/>
        <v>17.548378255279211</v>
      </c>
      <c r="E40" s="322">
        <f t="shared" si="2"/>
        <v>17.294658038919348</v>
      </c>
      <c r="F40" s="322">
        <f t="shared" si="2"/>
        <v>17.021557868277011</v>
      </c>
    </row>
    <row r="41" spans="1:6">
      <c r="A41" t="str">
        <f>$A$14</f>
        <v>Transport and storage</v>
      </c>
      <c r="B41" s="322">
        <f t="shared" si="2"/>
        <v>6.617783773305745</v>
      </c>
      <c r="C41" s="322">
        <f t="shared" si="2"/>
        <v>6.7014949081346415</v>
      </c>
      <c r="D41" s="322">
        <f t="shared" si="2"/>
        <v>6.6401447820811876</v>
      </c>
      <c r="E41" s="322">
        <f t="shared" si="2"/>
        <v>7.077744190440213</v>
      </c>
      <c r="F41" s="322">
        <f t="shared" si="2"/>
        <v>7.2346841806784061</v>
      </c>
    </row>
    <row r="42" spans="1:6">
      <c r="A42" t="str">
        <f>$A$15</f>
        <v>Accommodation and food</v>
      </c>
      <c r="B42" s="322">
        <f t="shared" si="2"/>
        <v>4.332999711212465</v>
      </c>
      <c r="C42" s="322">
        <f t="shared" si="2"/>
        <v>4.7016164932118185</v>
      </c>
      <c r="D42" s="322">
        <f t="shared" si="2"/>
        <v>4.9782947798643296</v>
      </c>
      <c r="E42" s="322">
        <f t="shared" si="2"/>
        <v>5.1496866931167036</v>
      </c>
      <c r="F42" s="322">
        <f t="shared" si="2"/>
        <v>5.6235918029520411</v>
      </c>
    </row>
    <row r="43" spans="1:6">
      <c r="A43" t="str">
        <f>$A$16</f>
        <v>Media</v>
      </c>
      <c r="B43" s="322">
        <f t="shared" si="2"/>
        <v>0.33784184729073757</v>
      </c>
      <c r="C43" s="322">
        <f t="shared" si="2"/>
        <v>0.35789155787743798</v>
      </c>
      <c r="D43" s="322">
        <f t="shared" si="2"/>
        <v>0.42523690330797997</v>
      </c>
      <c r="E43" s="322">
        <f t="shared" si="2"/>
        <v>0.40895207506769993</v>
      </c>
      <c r="F43" s="322">
        <f t="shared" si="2"/>
        <v>0.40349156231319777</v>
      </c>
    </row>
    <row r="44" spans="1:6">
      <c r="A44" t="str">
        <f>$A$17</f>
        <v>Information technology</v>
      </c>
      <c r="B44" s="322">
        <f t="shared" si="2"/>
        <v>1.2932142843014365</v>
      </c>
      <c r="C44" s="322">
        <f t="shared" si="2"/>
        <v>1.2538951348319707</v>
      </c>
      <c r="D44" s="322">
        <f t="shared" si="2"/>
        <v>1.3851437139505889</v>
      </c>
      <c r="E44" s="322">
        <f t="shared" si="2"/>
        <v>1.4071257635871206</v>
      </c>
      <c r="F44" s="322">
        <f t="shared" si="2"/>
        <v>1.4158607053630277</v>
      </c>
    </row>
    <row r="45" spans="1:6">
      <c r="A45" t="str">
        <f>$A$18</f>
        <v>Finance and insurance</v>
      </c>
      <c r="B45" s="322">
        <f t="shared" si="2"/>
        <v>2.0213148931288392</v>
      </c>
      <c r="C45" s="322">
        <f t="shared" si="2"/>
        <v>2.0167434417597732</v>
      </c>
      <c r="D45" s="322">
        <f t="shared" si="2"/>
        <v>2.1042173021036139</v>
      </c>
      <c r="E45" s="322">
        <f t="shared" si="2"/>
        <v>2.0573556269286457</v>
      </c>
      <c r="F45" s="322">
        <f t="shared" si="2"/>
        <v>1.926260288460067</v>
      </c>
    </row>
    <row r="46" spans="1:6">
      <c r="A46" t="str">
        <f>$A$19</f>
        <v>Real estate</v>
      </c>
      <c r="B46" s="322">
        <f t="shared" si="2"/>
        <v>1.5276069008351105</v>
      </c>
      <c r="C46" s="322">
        <f t="shared" si="2"/>
        <v>1.9973290504009384</v>
      </c>
      <c r="D46" s="322">
        <f t="shared" si="2"/>
        <v>2.0637089525467887</v>
      </c>
      <c r="E46" s="322">
        <f t="shared" si="2"/>
        <v>2.0286227092386113</v>
      </c>
      <c r="F46" s="322">
        <f t="shared" si="2"/>
        <v>2.1531045476143063</v>
      </c>
    </row>
    <row r="47" spans="1:6">
      <c r="A47" s="10" t="str">
        <f>$A$20</f>
        <v>Professional services</v>
      </c>
      <c r="B47" s="322">
        <f t="shared" si="2"/>
        <v>5.6554883476210582</v>
      </c>
      <c r="C47" s="322">
        <f t="shared" si="2"/>
        <v>4.8622264580894266</v>
      </c>
      <c r="D47" s="322">
        <f t="shared" si="2"/>
        <v>4.9837361999540404</v>
      </c>
      <c r="E47" s="322">
        <f t="shared" si="2"/>
        <v>5.029441400591975</v>
      </c>
      <c r="F47" s="322">
        <f t="shared" si="2"/>
        <v>5.1524684640498029</v>
      </c>
    </row>
    <row r="48" spans="1:6">
      <c r="A48" s="10" t="str">
        <f>$A$21</f>
        <v>Support services</v>
      </c>
      <c r="B48" s="322">
        <f t="shared" si="2"/>
        <v>7.959656778001527</v>
      </c>
      <c r="C48" s="322">
        <f t="shared" si="2"/>
        <v>6.7252236086843196</v>
      </c>
      <c r="D48" s="322">
        <f t="shared" si="2"/>
        <v>6.4829482017114293</v>
      </c>
      <c r="E48" s="322">
        <f t="shared" si="2"/>
        <v>6.6626912903835382</v>
      </c>
      <c r="F48" s="322">
        <f t="shared" si="2"/>
        <v>6.8365571785478894</v>
      </c>
    </row>
    <row r="49" spans="1:9">
      <c r="A49" s="10" t="str">
        <f>$A$22</f>
        <v>Public admin. and defence</v>
      </c>
      <c r="B49" s="322">
        <f t="shared" si="2"/>
        <v>3.1653882214248648</v>
      </c>
      <c r="C49" s="322">
        <f t="shared" si="2"/>
        <v>3.0306061016098287</v>
      </c>
      <c r="D49" s="322">
        <f t="shared" si="2"/>
        <v>3.0796422367058001</v>
      </c>
      <c r="E49" s="322">
        <f t="shared" si="2"/>
        <v>3.0610397380187626</v>
      </c>
      <c r="F49" s="322">
        <f t="shared" si="2"/>
        <v>3.1085710344404731</v>
      </c>
    </row>
    <row r="50" spans="1:9">
      <c r="A50" s="10" t="str">
        <f>$A$23</f>
        <v>Education</v>
      </c>
      <c r="B50" s="322">
        <f t="shared" si="2"/>
        <v>8.8634034994718984</v>
      </c>
      <c r="C50" s="322">
        <f t="shared" si="2"/>
        <v>8.7080408918069416</v>
      </c>
      <c r="D50" s="322">
        <f t="shared" si="2"/>
        <v>9.081730129747644</v>
      </c>
      <c r="E50" s="322">
        <f t="shared" si="2"/>
        <v>9.1075477045153868</v>
      </c>
      <c r="F50" s="322">
        <f t="shared" si="2"/>
        <v>9.4194013150836113</v>
      </c>
    </row>
    <row r="51" spans="1:9">
      <c r="A51" s="10" t="str">
        <f>$A$24</f>
        <v>Health and social work</v>
      </c>
      <c r="B51" s="322">
        <f t="shared" si="2"/>
        <v>12.039472903422354</v>
      </c>
      <c r="C51" s="322">
        <f t="shared" si="2"/>
        <v>14.28232447135003</v>
      </c>
      <c r="D51" s="322">
        <f t="shared" si="2"/>
        <v>14.464100734793247</v>
      </c>
      <c r="E51" s="322">
        <f t="shared" si="2"/>
        <v>15.058213678443233</v>
      </c>
      <c r="F51" s="322">
        <f t="shared" si="2"/>
        <v>15.557799304139936</v>
      </c>
    </row>
    <row r="52" spans="1:9">
      <c r="A52" s="10" t="str">
        <f>$A$25</f>
        <v>Arts and entertainment</v>
      </c>
      <c r="B52" s="322">
        <f t="shared" si="2"/>
        <v>2.3542117485095817</v>
      </c>
      <c r="C52" s="322">
        <f t="shared" si="2"/>
        <v>2.3865974023936598</v>
      </c>
      <c r="D52" s="322">
        <f t="shared" si="2"/>
        <v>2.4002708618000228</v>
      </c>
      <c r="E52" s="322">
        <f t="shared" si="2"/>
        <v>2.2208970967945039</v>
      </c>
      <c r="F52" s="322">
        <f t="shared" si="2"/>
        <v>2.2900924237082907</v>
      </c>
    </row>
    <row r="53" spans="1:9">
      <c r="A53" s="10" t="str">
        <f>$A$26</f>
        <v>Other services</v>
      </c>
      <c r="B53" s="322">
        <f t="shared" si="2"/>
        <v>3.248661885189156</v>
      </c>
      <c r="C53" s="322">
        <f t="shared" si="2"/>
        <v>2.683108106783076</v>
      </c>
      <c r="D53" s="322">
        <f t="shared" si="2"/>
        <v>2.6092617000608631</v>
      </c>
      <c r="E53" s="322">
        <f t="shared" si="2"/>
        <v>2.4804773600352692</v>
      </c>
      <c r="F53" s="322">
        <f t="shared" si="2"/>
        <v>2.4130941250402302</v>
      </c>
    </row>
    <row r="54" spans="1:9">
      <c r="B54" s="322"/>
      <c r="C54" s="322"/>
      <c r="D54" s="322"/>
      <c r="E54" s="322"/>
      <c r="F54" s="322"/>
    </row>
    <row r="55" spans="1:9">
      <c r="A55" s="22" t="str">
        <f>$A$28</f>
        <v>All industries</v>
      </c>
      <c r="B55" s="361">
        <f>B28/B$28*100</f>
        <v>100</v>
      </c>
      <c r="C55" s="361">
        <f>C28/C$28*100</f>
        <v>100</v>
      </c>
      <c r="D55" s="361">
        <f>D28/D$28*100</f>
        <v>100</v>
      </c>
      <c r="E55" s="361">
        <f>E28/E$28*100</f>
        <v>100</v>
      </c>
      <c r="F55" s="361">
        <f>F28/F$28*100</f>
        <v>100</v>
      </c>
    </row>
    <row r="56" spans="1:9">
      <c r="B56" s="322"/>
      <c r="C56" s="322"/>
      <c r="D56" s="322"/>
      <c r="E56" s="322"/>
      <c r="F56" s="322"/>
    </row>
    <row r="57" spans="1:9">
      <c r="B57" s="322"/>
      <c r="C57" s="322"/>
      <c r="D57" s="322"/>
      <c r="E57" s="322"/>
      <c r="F57" s="322"/>
    </row>
    <row r="58" spans="1:9">
      <c r="B58" s="322"/>
      <c r="C58" s="322"/>
      <c r="D58" s="322"/>
      <c r="E58" s="322"/>
      <c r="F58" s="322"/>
    </row>
    <row r="59" spans="1:9" ht="15.75">
      <c r="A59" s="18" t="str">
        <f>CONCATENATE(A1," (Continued)")</f>
        <v>Industry Table 2  Employment by Industry Group (SIC 2007), 2015-2035, Black Country (Continued)</v>
      </c>
      <c r="B59" s="322"/>
      <c r="C59" s="322"/>
      <c r="D59" s="322"/>
      <c r="E59" s="322"/>
      <c r="F59" s="322"/>
    </row>
    <row r="61" spans="1:9">
      <c r="A61" s="20"/>
      <c r="B61" s="23" t="str">
        <f>CONCATENATE(B$3,"-",C$3)</f>
        <v>2015-2019</v>
      </c>
      <c r="C61" s="23" t="str">
        <f>CONCATENATE(C$3,"-",D$3)</f>
        <v>2019-2020</v>
      </c>
      <c r="D61" s="23" t="str">
        <f>CONCATENATE(D$3,"-",E$3)</f>
        <v>2020-2025</v>
      </c>
      <c r="E61" s="23" t="str">
        <f>CONCATENATE(E$3,"-",F$3)</f>
        <v>2025-2035</v>
      </c>
      <c r="F61" s="23" t="str">
        <f>CONCATENATE(D$3,"-",F$3)</f>
        <v>2020-2035</v>
      </c>
      <c r="G61" s="19"/>
      <c r="H61" s="19"/>
      <c r="I61" s="19"/>
    </row>
    <row r="62" spans="1:9">
      <c r="A62" s="24" t="s">
        <v>123</v>
      </c>
    </row>
    <row r="63" spans="1:9">
      <c r="A63" t="str">
        <f>$A$5</f>
        <v>Agriculture</v>
      </c>
      <c r="B63" s="322">
        <f>IF(AND(C$3-B$3 &lt;&gt; 0,B5&lt;&gt;0,C5&lt;&gt;0),(EXP(LN(C5/B5)/(C$3-B$3))-1)*100,0)</f>
        <v>-6.2949747366430886</v>
      </c>
      <c r="C63" s="322">
        <f>IF(AND(D$3-C$3 &lt;&gt; 0,C5&lt;&gt;0,D5&lt;&gt;0),(EXP(LN(D5/C5)/(D$3-C$3))-1)*100,0)</f>
        <v>-51.224846894138253</v>
      </c>
      <c r="D63" s="322">
        <f t="shared" ref="B63:E78" si="3">IF(AND(E$3-D$3 &lt;&gt; 0,D5&lt;&gt;0,E5&lt;&gt;0),(EXP(LN(E5/D5)/(E$3-D$3))-1)*100,0)</f>
        <v>1.6823443259135207</v>
      </c>
      <c r="E63" s="322">
        <f t="shared" si="3"/>
        <v>2.4724947565291089E-2</v>
      </c>
      <c r="F63" s="322">
        <f>IF(AND(F$3-D$3 &lt;&gt; 0,D5&lt;&gt;0,F5&lt;&gt;0),(EXP(LN(F5/D5)/(F$3-D$3))-1)*100,0)</f>
        <v>0.5742402872390695</v>
      </c>
      <c r="G63" s="322"/>
      <c r="H63" s="322"/>
      <c r="I63" s="322"/>
    </row>
    <row r="64" spans="1:9">
      <c r="A64" t="str">
        <f>$A$6</f>
        <v>Mining and quarrying</v>
      </c>
      <c r="B64" s="322">
        <f t="shared" si="3"/>
        <v>-2.7335093503809249</v>
      </c>
      <c r="C64" s="322">
        <f t="shared" ref="C64:C78" si="4">IF(AND(D$3-C$3 &lt;&gt; 0,C6&lt;&gt;0,D6&lt;&gt;0),(EXP(LN(D6/C6)/(D$3-C$3))-1)*100,0)</f>
        <v>6.8965517241381447</v>
      </c>
      <c r="D64" s="322">
        <f t="shared" si="3"/>
        <v>-6.7993459798907363</v>
      </c>
      <c r="E64" s="322">
        <f t="shared" si="3"/>
        <v>-5.3345714789729382</v>
      </c>
      <c r="F64" s="322">
        <f t="shared" ref="F64:F84" si="5">IF(AND(F$3-D$3 &lt;&gt; 0,D6&lt;&gt;0,F6&lt;&gt;0),(EXP(LN(F6/D6)/(F$3-D$3))-1)*100,0)</f>
        <v>-5.8253698205932185</v>
      </c>
    </row>
    <row r="65" spans="1:6">
      <c r="A65" t="str">
        <f>$A$7</f>
        <v>Food drink and tobacco</v>
      </c>
      <c r="B65" s="322">
        <f t="shared" si="3"/>
        <v>-2.479463338223431</v>
      </c>
      <c r="C65" s="322">
        <f t="shared" si="4"/>
        <v>-0.70955534531682574</v>
      </c>
      <c r="D65" s="322">
        <f t="shared" si="3"/>
        <v>0.12356277608251975</v>
      </c>
      <c r="E65" s="322">
        <f t="shared" si="3"/>
        <v>-0.23446601557616242</v>
      </c>
      <c r="F65" s="322">
        <f t="shared" si="5"/>
        <v>-0.11526556315363257</v>
      </c>
    </row>
    <row r="66" spans="1:6">
      <c r="A66" t="str">
        <f>$A$8</f>
        <v>Engineering</v>
      </c>
      <c r="B66" s="322">
        <f t="shared" si="3"/>
        <v>4.0790522821526842</v>
      </c>
      <c r="C66" s="322">
        <f t="shared" si="4"/>
        <v>-9.20778743724766</v>
      </c>
      <c r="D66" s="322">
        <f t="shared" si="3"/>
        <v>1.1930391085658298</v>
      </c>
      <c r="E66" s="322">
        <f t="shared" si="3"/>
        <v>-1.0343882860529341</v>
      </c>
      <c r="F66" s="322">
        <f t="shared" si="5"/>
        <v>-0.29741418690557575</v>
      </c>
    </row>
    <row r="67" spans="1:6">
      <c r="A67" t="str">
        <f>$A$9</f>
        <v>Rest of manufacturing</v>
      </c>
      <c r="B67" s="322">
        <f t="shared" si="3"/>
        <v>4.0661279454745625E-2</v>
      </c>
      <c r="C67" s="322">
        <f t="shared" si="4"/>
        <v>-8.4142690229295098</v>
      </c>
      <c r="D67" s="322">
        <f t="shared" si="3"/>
        <v>-0.76263523090425167</v>
      </c>
      <c r="E67" s="322">
        <f t="shared" si="3"/>
        <v>-1.0127671219584244</v>
      </c>
      <c r="F67" s="322">
        <f t="shared" si="5"/>
        <v>-0.92945995550866023</v>
      </c>
    </row>
    <row r="68" spans="1:6">
      <c r="A68" t="str">
        <f>$A$10</f>
        <v>Electricity and gas</v>
      </c>
      <c r="B68" s="322">
        <f t="shared" si="3"/>
        <v>-24.375251739496395</v>
      </c>
      <c r="C68" s="322">
        <f t="shared" si="4"/>
        <v>15.330602691632444</v>
      </c>
      <c r="D68" s="322">
        <f t="shared" si="3"/>
        <v>-1.1951485565641518</v>
      </c>
      <c r="E68" s="322">
        <f t="shared" si="3"/>
        <v>-0.20665256504541762</v>
      </c>
      <c r="F68" s="322">
        <f t="shared" si="5"/>
        <v>-0.53724519762726741</v>
      </c>
    </row>
    <row r="69" spans="1:6">
      <c r="A69" t="str">
        <f>$A$11</f>
        <v>Water and sewerage</v>
      </c>
      <c r="B69" s="322">
        <f t="shared" si="3"/>
        <v>0.42434578880083951</v>
      </c>
      <c r="C69" s="322">
        <f t="shared" si="4"/>
        <v>-13.685882886972411</v>
      </c>
      <c r="D69" s="322">
        <f t="shared" si="3"/>
        <v>0.57191149061974755</v>
      </c>
      <c r="E69" s="322">
        <f t="shared" si="3"/>
        <v>0.3397617738247094</v>
      </c>
      <c r="F69" s="322">
        <f t="shared" si="5"/>
        <v>0.41708541045613057</v>
      </c>
    </row>
    <row r="70" spans="1:6">
      <c r="A70" t="str">
        <f>$A$12</f>
        <v>Construction</v>
      </c>
      <c r="B70" s="322">
        <f t="shared" si="3"/>
        <v>5.3160029551780674</v>
      </c>
      <c r="C70" s="322">
        <f t="shared" si="4"/>
        <v>-5.2719129878438746</v>
      </c>
      <c r="D70" s="322">
        <f t="shared" si="3"/>
        <v>-6.0047756904824112E-2</v>
      </c>
      <c r="E70" s="322">
        <f t="shared" si="3"/>
        <v>0.14697554040974392</v>
      </c>
      <c r="F70" s="322">
        <f t="shared" si="5"/>
        <v>7.7920169124223726E-2</v>
      </c>
    </row>
    <row r="71" spans="1:6">
      <c r="A71" t="str">
        <f>$A$13</f>
        <v>Wholesale and retail trade</v>
      </c>
      <c r="B71" s="322">
        <f t="shared" si="3"/>
        <v>-0.96594010595912883</v>
      </c>
      <c r="C71" s="322">
        <f t="shared" si="4"/>
        <v>-1.6779584462509267</v>
      </c>
      <c r="D71" s="322">
        <f t="shared" si="3"/>
        <v>0.1842202066080656</v>
      </c>
      <c r="E71" s="322">
        <f t="shared" si="3"/>
        <v>0.10915852189887776</v>
      </c>
      <c r="F71" s="322">
        <f t="shared" si="5"/>
        <v>0.13417283261338842</v>
      </c>
    </row>
    <row r="72" spans="1:6">
      <c r="A72" t="str">
        <f>$A$14</f>
        <v>Transport and storage</v>
      </c>
      <c r="B72" s="322">
        <f t="shared" ref="B72:B78" si="6">IF(AND(C$3-B$3 &lt;&gt; 0,B14&lt;&gt;0,C14&lt;&gt;0),(EXP(LN(C14/B14)/(C$3-B$3))-1)*100,0)</f>
        <v>0.53077430073900089</v>
      </c>
      <c r="C72" s="322">
        <f t="shared" si="4"/>
        <v>-3.5847013724288557</v>
      </c>
      <c r="D72" s="322">
        <f t="shared" si="3"/>
        <v>1.7671907993296987</v>
      </c>
      <c r="E72" s="322">
        <f t="shared" si="3"/>
        <v>0.48877448295605586</v>
      </c>
      <c r="F72" s="322">
        <f t="shared" si="5"/>
        <v>0.91311881014868312</v>
      </c>
    </row>
    <row r="73" spans="1:6">
      <c r="A73" t="str">
        <f>$A$15</f>
        <v>Accommodation and food</v>
      </c>
      <c r="B73" s="322">
        <f t="shared" si="6"/>
        <v>2.2819226552231564</v>
      </c>
      <c r="C73" s="322">
        <f>IF(AND(D$3-C$3 &lt;&gt; 0,C15&lt;&gt;0,D15&lt;&gt;0),(EXP(LN(D15/C15)/(D$3-C$3))-1)*100,0)</f>
        <v>3.03232533889497</v>
      </c>
      <c r="D73" s="322">
        <f t="shared" si="3"/>
        <v>1.1589617761399662</v>
      </c>
      <c r="E73" s="322">
        <f t="shared" si="3"/>
        <v>1.1552380457874545</v>
      </c>
      <c r="F73" s="322">
        <f t="shared" si="5"/>
        <v>1.1564792740077046</v>
      </c>
    </row>
    <row r="74" spans="1:6">
      <c r="A74" t="str">
        <f>$A$16</f>
        <v>Media</v>
      </c>
      <c r="B74" s="322">
        <f t="shared" si="6"/>
        <v>1.6702170268478422</v>
      </c>
      <c r="C74" s="322">
        <f>IF(AND(D$3-C$3 &lt;&gt; 0,C16&lt;&gt;0,D16&lt;&gt;0),(EXP(LN(D16/C16)/(D$3-C$3))-1)*100,0)</f>
        <v>15.616438356164464</v>
      </c>
      <c r="D74" s="322">
        <f t="shared" si="3"/>
        <v>-0.30517448932212421</v>
      </c>
      <c r="E74" s="322">
        <f t="shared" si="3"/>
        <v>0.1339348230253945</v>
      </c>
      <c r="F74" s="322">
        <f t="shared" si="5"/>
        <v>-1.2649425067379205E-2</v>
      </c>
    </row>
    <row r="75" spans="1:6">
      <c r="A75" t="str">
        <f>$A$17</f>
        <v>Information technology</v>
      </c>
      <c r="B75" s="322">
        <f t="shared" si="6"/>
        <v>-0.55523428649665307</v>
      </c>
      <c r="C75" s="322">
        <f t="shared" si="4"/>
        <v>7.4913981857987144</v>
      </c>
      <c r="D75" s="322">
        <f t="shared" si="3"/>
        <v>0.79336387547530585</v>
      </c>
      <c r="E75" s="322">
        <f t="shared" si="3"/>
        <v>0.33069939042573715</v>
      </c>
      <c r="F75" s="322">
        <f t="shared" si="5"/>
        <v>0.48468443215556878</v>
      </c>
    </row>
    <row r="76" spans="1:6">
      <c r="A76" t="str">
        <f>$A$18</f>
        <v>Finance and insurance</v>
      </c>
      <c r="B76" s="322">
        <f t="shared" si="6"/>
        <v>0.15863961906084079</v>
      </c>
      <c r="C76" s="322">
        <f t="shared" si="4"/>
        <v>1.526643329443611</v>
      </c>
      <c r="D76" s="322">
        <f t="shared" si="3"/>
        <v>2.4889436561514877E-2</v>
      </c>
      <c r="E76" s="322">
        <f t="shared" si="3"/>
        <v>-0.38938108837730523</v>
      </c>
      <c r="F76" s="322">
        <f t="shared" si="5"/>
        <v>-0.25148190668479176</v>
      </c>
    </row>
    <row r="77" spans="1:6">
      <c r="A77" t="str">
        <f>$A$19</f>
        <v>Real estate</v>
      </c>
      <c r="B77" s="322">
        <f t="shared" si="6"/>
        <v>7.1627252564684163</v>
      </c>
      <c r="C77" s="322">
        <f t="shared" si="4"/>
        <v>0.54000981836039852</v>
      </c>
      <c r="D77" s="322">
        <f t="shared" si="3"/>
        <v>0.13246111591624921</v>
      </c>
      <c r="E77" s="322">
        <f t="shared" si="3"/>
        <v>0.86754756855971227</v>
      </c>
      <c r="F77" s="322">
        <f t="shared" si="5"/>
        <v>0.62192110201610973</v>
      </c>
    </row>
    <row r="78" spans="1:6">
      <c r="A78" t="str">
        <f>$A$20</f>
        <v>Professional services</v>
      </c>
      <c r="B78" s="322">
        <f t="shared" si="6"/>
        <v>-3.5003994953859308</v>
      </c>
      <c r="C78" s="322">
        <f t="shared" si="4"/>
        <v>-0.26216020004852236</v>
      </c>
      <c r="D78" s="322">
        <f t="shared" si="3"/>
        <v>0.66007855389249581</v>
      </c>
      <c r="E78" s="322">
        <f t="shared" si="3"/>
        <v>0.51124147170613643</v>
      </c>
      <c r="F78" s="322">
        <f t="shared" si="5"/>
        <v>0.56082936389392213</v>
      </c>
    </row>
    <row r="79" spans="1:6">
      <c r="A79" s="10" t="str">
        <f>$A$21</f>
        <v>Support services</v>
      </c>
      <c r="B79" s="322">
        <f t="shared" ref="B79:B84" si="7">IF(AND(C$3-B$3 &lt;&gt; 0,B21&lt;&gt;0,C21&lt;&gt;0),(EXP(LN(C21/B21)/(C$3-B$3))-1)*100,0)</f>
        <v>-3.9190375559401081</v>
      </c>
      <c r="C79" s="322">
        <f t="shared" ref="C79:C84" si="8">IF(AND(D$3-C$3 &lt;&gt; 0,C21&lt;&gt;0,D21&lt;&gt;0),(EXP(LN(D21/C21)/(D$3-C$3))-1)*100,0)</f>
        <v>-6.1993351606695395</v>
      </c>
      <c r="D79" s="322">
        <f t="shared" ref="D79:D84" si="9">IF(AND(E$3-D$3 &lt;&gt; 0,D21&lt;&gt;0,E21&lt;&gt;0),(EXP(LN(E21/D21)/(E$3-D$3))-1)*100,0)</f>
        <v>1.0275338288977531</v>
      </c>
      <c r="E79" s="322">
        <f t="shared" ref="E79:E84" si="10">IF(AND(F$3-E$3 &lt;&gt; 0,E21&lt;&gt;0,F21&lt;&gt;0),(EXP(LN(F21/E21)/(F$3-E$3))-1)*100,0)</f>
        <v>0.52726201894126579</v>
      </c>
      <c r="F79" s="322">
        <f t="shared" si="5"/>
        <v>0.69374342982506665</v>
      </c>
    </row>
    <row r="80" spans="1:6">
      <c r="A80" s="10" t="str">
        <f>$A$22</f>
        <v>Public admin. and defence</v>
      </c>
      <c r="B80" s="322">
        <f t="shared" si="7"/>
        <v>-0.86891133297999357</v>
      </c>
      <c r="C80" s="322">
        <f t="shared" si="8"/>
        <v>-1.1194512747510599</v>
      </c>
      <c r="D80" s="322">
        <f t="shared" si="9"/>
        <v>0.35478013312981727</v>
      </c>
      <c r="E80" s="322">
        <f t="shared" si="10"/>
        <v>0.423247395630999</v>
      </c>
      <c r="F80" s="322">
        <f t="shared" si="5"/>
        <v>0.40041978615537044</v>
      </c>
    </row>
    <row r="81" spans="1:6">
      <c r="A81" s="10" t="str">
        <f>$A$23</f>
        <v>Education</v>
      </c>
      <c r="B81" s="322">
        <f t="shared" si="7"/>
        <v>-0.22672391936791048</v>
      </c>
      <c r="C81" s="322">
        <f t="shared" si="8"/>
        <v>1.4818151109109001</v>
      </c>
      <c r="D81" s="322">
        <f t="shared" si="9"/>
        <v>0.53352169493241508</v>
      </c>
      <c r="E81" s="322">
        <f t="shared" si="10"/>
        <v>0.60678313736965972</v>
      </c>
      <c r="F81" s="322">
        <f t="shared" si="5"/>
        <v>0.58235672652706683</v>
      </c>
    </row>
    <row r="82" spans="1:6">
      <c r="A82" s="10" t="str">
        <f>$A$24</f>
        <v>Health and social work</v>
      </c>
      <c r="B82" s="322">
        <f t="shared" si="7"/>
        <v>4.5880590155708223</v>
      </c>
      <c r="C82" s="322">
        <f t="shared" si="8"/>
        <v>-1.4554441850884059</v>
      </c>
      <c r="D82" s="322">
        <f t="shared" si="9"/>
        <v>1.2886370519012535</v>
      </c>
      <c r="E82" s="322">
        <f t="shared" si="10"/>
        <v>0.59642549882938933</v>
      </c>
      <c r="F82" s="322">
        <f t="shared" si="5"/>
        <v>0.82663545718058007</v>
      </c>
    </row>
    <row r="83" spans="1:6">
      <c r="A83" s="10" t="str">
        <f>$A$25</f>
        <v>Arts and entertainment</v>
      </c>
      <c r="B83" s="322">
        <f>IF(AND(C$3-B$3 &lt;&gt; 0,B25&lt;&gt;0,C25&lt;&gt;0),(EXP(LN(C25/B25)/(C$3-B$3))-1)*100,0)</f>
        <v>0.55823872213778269</v>
      </c>
      <c r="C83" s="322">
        <f t="shared" si="8"/>
        <v>-2.1364009860312394</v>
      </c>
      <c r="D83" s="322">
        <f t="shared" si="9"/>
        <v>-1.0722890125523299</v>
      </c>
      <c r="E83" s="322">
        <f t="shared" si="10"/>
        <v>0.57673557890083327</v>
      </c>
      <c r="F83" s="322">
        <f t="shared" si="5"/>
        <v>2.4028950014032269E-2</v>
      </c>
    </row>
    <row r="84" spans="1:6">
      <c r="A84" s="10" t="str">
        <f>$A$26</f>
        <v>Other services</v>
      </c>
      <c r="B84" s="322">
        <f t="shared" si="7"/>
        <v>-4.4638661215836484</v>
      </c>
      <c r="C84" s="322">
        <f t="shared" si="8"/>
        <v>-5.3720216342639908</v>
      </c>
      <c r="D84" s="322">
        <f t="shared" si="9"/>
        <v>-0.53555828922634552</v>
      </c>
      <c r="E84" s="322">
        <f t="shared" si="10"/>
        <v>-7.1428857883581998E-3</v>
      </c>
      <c r="F84" s="322">
        <f t="shared" si="5"/>
        <v>-0.18359253748903015</v>
      </c>
    </row>
    <row r="85" spans="1:6">
      <c r="B85" s="322"/>
      <c r="C85" s="322"/>
      <c r="D85" s="322"/>
      <c r="E85" s="322"/>
      <c r="F85" s="322"/>
    </row>
    <row r="86" spans="1:6">
      <c r="A86" t="str">
        <f>$A$28</f>
        <v>All industries</v>
      </c>
      <c r="B86" s="322">
        <f>IF(AND(C$3-B$3 &lt;&gt; 0,B28&lt;&gt;0,C28&lt;&gt;0),(EXP(LN(C28/B28)/(C$3-B$3))-1)*100,0)</f>
        <v>0.21535006256829803</v>
      </c>
      <c r="C86" s="322">
        <f>IF(AND(D$3-C$3 &lt;&gt; 0,C28&lt;&gt;0,D28&lt;&gt;0),(EXP(LN(D28/C28)/(D$3-C$3))-1)*100,0)</f>
        <v>-2.6938938797601564</v>
      </c>
      <c r="D86" s="322">
        <f>IF(AND(E$3-D$3 &lt;&gt; 0,D28&lt;&gt;0,E28&lt;&gt;0),(EXP(LN(E28/D28)/(E$3-D$3))-1)*100,0)</f>
        <v>0.47645957720001686</v>
      </c>
      <c r="E86" s="322">
        <f>IF(AND(F$3-E$3 &lt;&gt; 0,E28&lt;&gt;0,F28&lt;&gt;0),(EXP(LN(F28/E28)/(F$3-E$3))-1)*100,0)</f>
        <v>0.26862934467042354</v>
      </c>
      <c r="F86" s="322">
        <f>IF(AND(F$3-D$3 &lt;&gt; 0,D28&lt;&gt;0,F28&lt;&gt;0),(EXP(LN(F28/D28)/(F$3-D$3))-1)*100,0)</f>
        <v>0.33785827979149197</v>
      </c>
    </row>
    <row r="89" spans="1:6">
      <c r="A89" s="1" t="s">
        <v>124</v>
      </c>
      <c r="B89" s="19" t="str">
        <f>CONCATENATE(B$3,"-",C$3)</f>
        <v>2015-2019</v>
      </c>
      <c r="C89" s="19" t="str">
        <f>CONCATENATE(C$3,"-",D$3)</f>
        <v>2019-2020</v>
      </c>
      <c r="D89" s="19" t="str">
        <f>CONCATENATE(D$3,"-",E$3)</f>
        <v>2020-2025</v>
      </c>
      <c r="E89" s="19" t="str">
        <f>CONCATENATE(E$3,"-",F$3)</f>
        <v>2025-2035</v>
      </c>
      <c r="F89" s="19" t="str">
        <f>CONCATENATE(D$3,"-",F$3)</f>
        <v>2020-2035</v>
      </c>
    </row>
    <row r="90" spans="1:6">
      <c r="A90" t="str">
        <f>$A$5</f>
        <v>Agriculture</v>
      </c>
      <c r="B90" s="225">
        <f t="shared" ref="B90:E105" si="11">C5-B5</f>
        <v>-0.67899999999999761</v>
      </c>
      <c r="C90" s="225">
        <f>D5-C5</f>
        <v>-1.1710000000000014</v>
      </c>
      <c r="D90" s="225">
        <f t="shared" si="11"/>
        <v>9.6999999999999975E-2</v>
      </c>
      <c r="E90" s="225">
        <f t="shared" si="11"/>
        <v>2.999999999996561E-3</v>
      </c>
      <c r="F90" s="225">
        <f>F5-D5</f>
        <v>9.9999999999996536E-2</v>
      </c>
    </row>
    <row r="91" spans="1:6">
      <c r="A91" t="str">
        <f>$A$6</f>
        <v>Mining and quarrying</v>
      </c>
      <c r="B91" s="225">
        <f t="shared" si="11"/>
        <v>-1.7000000000000348E-2</v>
      </c>
      <c r="C91" s="225">
        <f t="shared" ref="C91:C105" si="12">D6-C6</f>
        <v>1.0000000000000314E-2</v>
      </c>
      <c r="D91" s="225">
        <f t="shared" si="11"/>
        <v>-4.6000000000000249E-2</v>
      </c>
      <c r="E91" s="225">
        <f t="shared" si="11"/>
        <v>-4.6000000000000027E-2</v>
      </c>
      <c r="F91" s="225">
        <f t="shared" ref="F91:F111" si="13">F6-D6</f>
        <v>-9.2000000000000276E-2</v>
      </c>
    </row>
    <row r="92" spans="1:6">
      <c r="A92" t="str">
        <f>$A$7</f>
        <v>Food drink and tobacco</v>
      </c>
      <c r="B92" s="225">
        <f t="shared" si="11"/>
        <v>-0.66999999999998838</v>
      </c>
      <c r="C92" s="225">
        <f t="shared" si="12"/>
        <v>-4.4999999999992824E-2</v>
      </c>
      <c r="D92" s="225">
        <f t="shared" si="11"/>
        <v>3.8999999999995261E-2</v>
      </c>
      <c r="E92" s="225">
        <f t="shared" si="11"/>
        <v>-0.14700000000001801</v>
      </c>
      <c r="F92" s="225">
        <f t="shared" si="13"/>
        <v>-0.10800000000002274</v>
      </c>
    </row>
    <row r="93" spans="1:6">
      <c r="A93" t="str">
        <f>$A$8</f>
        <v>Engineering</v>
      </c>
      <c r="B93" s="225">
        <f t="shared" si="11"/>
        <v>1.2069999999999892</v>
      </c>
      <c r="C93" s="225">
        <f t="shared" si="12"/>
        <v>-0.75200000000001666</v>
      </c>
      <c r="D93" s="225">
        <f t="shared" si="11"/>
        <v>0.45300000000002871</v>
      </c>
      <c r="E93" s="225">
        <f t="shared" si="11"/>
        <v>-0.77700000000001079</v>
      </c>
      <c r="F93" s="225">
        <f t="shared" si="13"/>
        <v>-0.32399999999998208</v>
      </c>
    </row>
    <row r="94" spans="1:6">
      <c r="A94" t="str">
        <f>$A$9</f>
        <v>Rest of manufacturing</v>
      </c>
      <c r="B94" s="225">
        <f t="shared" si="11"/>
        <v>8.9000000000062585E-2</v>
      </c>
      <c r="C94" s="225">
        <f t="shared" si="12"/>
        <v>-4.6089999999998597</v>
      </c>
      <c r="D94" s="225">
        <f t="shared" si="11"/>
        <v>-1.884000000000043</v>
      </c>
      <c r="E94" s="225">
        <f t="shared" si="11"/>
        <v>-4.6730000000000445</v>
      </c>
      <c r="F94" s="225">
        <f t="shared" si="13"/>
        <v>-6.5570000000000874</v>
      </c>
    </row>
    <row r="95" spans="1:6">
      <c r="A95" t="str">
        <f>$A$10</f>
        <v>Electricity and gas</v>
      </c>
      <c r="B95" s="225">
        <f t="shared" si="11"/>
        <v>-3.5160000000000045</v>
      </c>
      <c r="C95" s="225">
        <f t="shared" si="12"/>
        <v>0.26199999999999846</v>
      </c>
      <c r="D95" s="225">
        <f t="shared" si="11"/>
        <v>-0.11500000000000044</v>
      </c>
      <c r="E95" s="225">
        <f t="shared" si="11"/>
        <v>-3.7999999999994261E-2</v>
      </c>
      <c r="F95" s="225">
        <f t="shared" si="13"/>
        <v>-0.1529999999999947</v>
      </c>
    </row>
    <row r="96" spans="1:6">
      <c r="A96" t="str">
        <f>$A$11</f>
        <v>Water and sewerage</v>
      </c>
      <c r="B96" s="225">
        <f t="shared" si="11"/>
        <v>7.4000000000022048E-2</v>
      </c>
      <c r="C96" s="225">
        <f t="shared" si="12"/>
        <v>-0.60300000000000464</v>
      </c>
      <c r="D96" s="225">
        <f t="shared" si="11"/>
        <v>0.11000000000000298</v>
      </c>
      <c r="E96" s="225">
        <f t="shared" si="11"/>
        <v>0.13499999999999046</v>
      </c>
      <c r="F96" s="225">
        <f t="shared" si="13"/>
        <v>0.24499999999999345</v>
      </c>
    </row>
    <row r="97" spans="1:6">
      <c r="A97" t="str">
        <f>$A$12</f>
        <v>Construction</v>
      </c>
      <c r="B97" s="225">
        <f t="shared" si="11"/>
        <v>7.3119999999999301</v>
      </c>
      <c r="C97" s="225">
        <f t="shared" si="12"/>
        <v>-2.0599999999999881</v>
      </c>
      <c r="D97" s="225">
        <f t="shared" si="11"/>
        <v>-0.11099999999996157</v>
      </c>
      <c r="E97" s="225">
        <f t="shared" si="11"/>
        <v>0.54599999999997806</v>
      </c>
      <c r="F97" s="225">
        <f t="shared" si="13"/>
        <v>0.43500000000001648</v>
      </c>
    </row>
    <row r="98" spans="1:6">
      <c r="A98" t="str">
        <f>$A$13</f>
        <v>Wholesale and retail trade</v>
      </c>
      <c r="B98" s="225">
        <f t="shared" si="11"/>
        <v>-3.5059999999999008</v>
      </c>
      <c r="C98" s="225">
        <f t="shared" si="12"/>
        <v>-1.4859999999998195</v>
      </c>
      <c r="D98" s="225">
        <f t="shared" si="11"/>
        <v>0.8049999999999784</v>
      </c>
      <c r="E98" s="225">
        <f t="shared" si="11"/>
        <v>0.96399999999951547</v>
      </c>
      <c r="F98" s="225">
        <f t="shared" si="13"/>
        <v>1.7689999999994939</v>
      </c>
    </row>
    <row r="99" spans="1:6">
      <c r="A99" t="str">
        <f>$A$14</f>
        <v>Transport and storage</v>
      </c>
      <c r="B99" s="225">
        <f t="shared" si="11"/>
        <v>0.71600000000006503</v>
      </c>
      <c r="C99" s="225">
        <f t="shared" si="12"/>
        <v>-1.2250000000001151</v>
      </c>
      <c r="D99" s="225">
        <f t="shared" si="11"/>
        <v>3.0160000000001332</v>
      </c>
      <c r="E99" s="225">
        <f t="shared" si="11"/>
        <v>1.7969999999999899</v>
      </c>
      <c r="F99" s="225">
        <f t="shared" si="13"/>
        <v>4.8130000000001232</v>
      </c>
    </row>
    <row r="100" spans="1:6">
      <c r="A100" t="str">
        <f>$A$15</f>
        <v>Accommodation and food</v>
      </c>
      <c r="B100" s="225">
        <f t="shared" si="11"/>
        <v>2.0689999999999955</v>
      </c>
      <c r="C100" s="225">
        <f t="shared" si="12"/>
        <v>0.72700000000006781</v>
      </c>
      <c r="D100" s="225">
        <f t="shared" si="11"/>
        <v>1.4650000000000354</v>
      </c>
      <c r="E100" s="225">
        <f t="shared" si="11"/>
        <v>3.1849999999999099</v>
      </c>
      <c r="F100" s="225">
        <f t="shared" si="13"/>
        <v>4.6499999999999453</v>
      </c>
    </row>
    <row r="101" spans="1:6">
      <c r="A101" t="str">
        <f>$A$16</f>
        <v>Media</v>
      </c>
      <c r="B101" s="225">
        <f t="shared" si="11"/>
        <v>0.11699999999999933</v>
      </c>
      <c r="C101" s="225">
        <f t="shared" si="12"/>
        <v>0.28500000000000125</v>
      </c>
      <c r="D101" s="225">
        <f t="shared" si="11"/>
        <v>-3.1999999999995588E-2</v>
      </c>
      <c r="E101" s="225">
        <f t="shared" si="11"/>
        <v>2.7999999999991143E-2</v>
      </c>
      <c r="F101" s="225">
        <f t="shared" si="13"/>
        <v>-4.0000000000044444E-3</v>
      </c>
    </row>
    <row r="102" spans="1:6">
      <c r="A102" t="str">
        <f>$A$17</f>
        <v>Information technology</v>
      </c>
      <c r="B102" s="225">
        <f t="shared" si="11"/>
        <v>-0.14400000000001167</v>
      </c>
      <c r="C102" s="225">
        <f t="shared" si="12"/>
        <v>0.47899999999997167</v>
      </c>
      <c r="D102" s="225">
        <f t="shared" si="11"/>
        <v>0.27699999999998148</v>
      </c>
      <c r="E102" s="225">
        <f t="shared" si="11"/>
        <v>0.24000000000002331</v>
      </c>
      <c r="F102" s="225">
        <f t="shared" si="13"/>
        <v>0.51700000000000479</v>
      </c>
    </row>
    <row r="103" spans="1:6">
      <c r="A103" t="str">
        <f>$A$18</f>
        <v>Finance and insurance</v>
      </c>
      <c r="B103" s="225">
        <f t="shared" si="11"/>
        <v>6.5000000000008384E-2</v>
      </c>
      <c r="C103" s="225">
        <f t="shared" si="12"/>
        <v>0.15699999999998226</v>
      </c>
      <c r="D103" s="225">
        <f t="shared" si="11"/>
        <v>1.299999999998569E-2</v>
      </c>
      <c r="E103" s="225">
        <f t="shared" si="11"/>
        <v>-0.39999999999999503</v>
      </c>
      <c r="F103" s="225">
        <f t="shared" si="13"/>
        <v>-0.38700000000000934</v>
      </c>
    </row>
    <row r="104" spans="1:6">
      <c r="A104" t="str">
        <f>$A$19</f>
        <v>Real estate</v>
      </c>
      <c r="B104" s="225">
        <f t="shared" si="11"/>
        <v>2.4620000000000086</v>
      </c>
      <c r="C104" s="225">
        <f t="shared" si="12"/>
        <v>5.5000000000006821E-2</v>
      </c>
      <c r="D104" s="225">
        <f t="shared" si="11"/>
        <v>6.7999999999962313E-2</v>
      </c>
      <c r="E104" s="225">
        <f t="shared" si="11"/>
        <v>0.93000000000002636</v>
      </c>
      <c r="F104" s="225">
        <f t="shared" si="13"/>
        <v>0.99799999999998867</v>
      </c>
    </row>
    <row r="105" spans="1:6">
      <c r="A105" t="str">
        <f>$A$20</f>
        <v>Professional services</v>
      </c>
      <c r="B105" s="225">
        <f t="shared" si="11"/>
        <v>-3.7979999999999841</v>
      </c>
      <c r="C105" s="225">
        <f t="shared" si="12"/>
        <v>-6.5000000000029701E-2</v>
      </c>
      <c r="D105" s="225">
        <f t="shared" si="11"/>
        <v>0.82700000000004792</v>
      </c>
      <c r="E105" s="225">
        <f t="shared" si="11"/>
        <v>1.3370000000000672</v>
      </c>
      <c r="F105" s="225">
        <f t="shared" si="13"/>
        <v>2.1640000000001152</v>
      </c>
    </row>
    <row r="106" spans="1:6">
      <c r="A106" s="10" t="str">
        <f>$A$21</f>
        <v>Support services</v>
      </c>
      <c r="B106" s="225">
        <f t="shared" ref="B106:B111" si="14">C21-B21</f>
        <v>-5.9470000000000454</v>
      </c>
      <c r="C106" s="225">
        <f t="shared" ref="C106:C111" si="15">D21-C21</f>
        <v>-2.1260000000000119</v>
      </c>
      <c r="D106" s="225">
        <f t="shared" ref="D106:D111" si="16">E21-D21</f>
        <v>1.6870000000000687</v>
      </c>
      <c r="E106" s="225">
        <f t="shared" ref="E106:E111" si="17">F21-E21</f>
        <v>1.827999999999868</v>
      </c>
      <c r="F106" s="225">
        <f t="shared" si="13"/>
        <v>3.5149999999999366</v>
      </c>
    </row>
    <row r="107" spans="1:6">
      <c r="A107" s="10" t="str">
        <f>$A$22</f>
        <v>Public admin. and defence</v>
      </c>
      <c r="B107" s="225">
        <f t="shared" si="14"/>
        <v>-0.54899999999996218</v>
      </c>
      <c r="C107" s="225">
        <f t="shared" si="15"/>
        <v>-0.17300000000002846</v>
      </c>
      <c r="D107" s="225">
        <f t="shared" si="16"/>
        <v>0.27300000000000502</v>
      </c>
      <c r="E107" s="225">
        <f t="shared" si="17"/>
        <v>0.67099999999997628</v>
      </c>
      <c r="F107" s="225">
        <f t="shared" si="13"/>
        <v>0.9439999999999813</v>
      </c>
    </row>
    <row r="108" spans="1:6">
      <c r="A108" s="10" t="str">
        <f>$A$23</f>
        <v>Education</v>
      </c>
      <c r="B108" s="225">
        <f t="shared" si="14"/>
        <v>-0.40500000000006509</v>
      </c>
      <c r="C108" s="225">
        <f t="shared" si="15"/>
        <v>0.65799999999998704</v>
      </c>
      <c r="D108" s="225">
        <f t="shared" si="16"/>
        <v>1.2149999999999324</v>
      </c>
      <c r="E108" s="225">
        <f t="shared" si="17"/>
        <v>2.8859999999999815</v>
      </c>
      <c r="F108" s="225">
        <f t="shared" si="13"/>
        <v>4.1009999999999138</v>
      </c>
    </row>
    <row r="109" spans="1:6">
      <c r="A109" s="10" t="str">
        <f>$A$24</f>
        <v>Health and social work</v>
      </c>
      <c r="B109" s="225">
        <f t="shared" si="14"/>
        <v>11.962999999999802</v>
      </c>
      <c r="C109" s="225">
        <f t="shared" si="15"/>
        <v>-1.0599999999998886</v>
      </c>
      <c r="D109" s="225">
        <f t="shared" si="16"/>
        <v>4.7450000000000472</v>
      </c>
      <c r="E109" s="225">
        <f t="shared" si="17"/>
        <v>4.6879999999999882</v>
      </c>
      <c r="F109" s="225">
        <f t="shared" si="13"/>
        <v>9.4330000000000354</v>
      </c>
    </row>
    <row r="110" spans="1:6">
      <c r="A110" s="10" t="str">
        <f>$A$25</f>
        <v>Arts and entertainment</v>
      </c>
      <c r="B110" s="225">
        <f t="shared" si="14"/>
        <v>0.26800000000000068</v>
      </c>
      <c r="C110" s="225">
        <f t="shared" si="15"/>
        <v>-0.26000000000000156</v>
      </c>
      <c r="D110" s="225">
        <f t="shared" si="16"/>
        <v>-0.62500000000002665</v>
      </c>
      <c r="E110" s="225">
        <f t="shared" si="17"/>
        <v>0.66800000000000637</v>
      </c>
      <c r="F110" s="225">
        <f t="shared" si="13"/>
        <v>4.2999999999979721E-2</v>
      </c>
    </row>
    <row r="111" spans="1:6">
      <c r="A111" s="10" t="str">
        <f>$A$26</f>
        <v>Other services</v>
      </c>
      <c r="B111" s="225">
        <f t="shared" si="14"/>
        <v>-2.7419999999999938</v>
      </c>
      <c r="C111" s="225">
        <f t="shared" si="15"/>
        <v>-0.73499999999999943</v>
      </c>
      <c r="D111" s="225">
        <f t="shared" si="16"/>
        <v>-0.34299999999998398</v>
      </c>
      <c r="E111" s="225">
        <f t="shared" si="17"/>
        <v>-9.0000000000554081E-3</v>
      </c>
      <c r="F111" s="225">
        <f t="shared" si="13"/>
        <v>-0.35200000000003939</v>
      </c>
    </row>
    <row r="112" spans="1:6">
      <c r="B112" s="225"/>
      <c r="C112" s="225"/>
      <c r="D112" s="225"/>
      <c r="E112" s="225"/>
      <c r="F112" s="225"/>
    </row>
    <row r="113" spans="1:6">
      <c r="A113" s="22" t="str">
        <f>$A$28</f>
        <v>All industries</v>
      </c>
      <c r="B113" s="362">
        <f>C28-B28</f>
        <v>4.3689999999999714</v>
      </c>
      <c r="C113" s="362">
        <f>D28-C28</f>
        <v>-13.736999999999739</v>
      </c>
      <c r="D113" s="362">
        <f>E28-D28</f>
        <v>11.93400000000014</v>
      </c>
      <c r="E113" s="362">
        <f>F28-E28</f>
        <v>13.815999999999121</v>
      </c>
      <c r="F113" s="362">
        <f>F28-D28</f>
        <v>25.749999999999261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>
      <c r="A1" s="18" t="str">
        <f>CONCATENATE("Industry Table 4  Employment by Industry Group in Sector (SIC 2007), ",B$5,"-",F$5,", ",Info!B5)</f>
        <v>Industry Table 4  Employment by Industry Group in Sector (SIC 2007), 2015-2035, Black Country</v>
      </c>
    </row>
    <row r="2" spans="1:12" ht="12.75" customHeight="1">
      <c r="A2" s="159" t="s">
        <v>126</v>
      </c>
    </row>
    <row r="3" spans="1:12" ht="12.75" customHeight="1">
      <c r="A3" s="18"/>
      <c r="L3" s="64" t="s">
        <v>127</v>
      </c>
    </row>
    <row r="4" spans="1:12">
      <c r="A4" s="29"/>
      <c r="B4" s="24" t="s">
        <v>128</v>
      </c>
      <c r="C4" s="29"/>
      <c r="D4" s="29"/>
      <c r="E4" s="29"/>
      <c r="F4" s="29"/>
      <c r="G4" s="29"/>
      <c r="H4" s="24" t="s">
        <v>118</v>
      </c>
      <c r="I4" s="29"/>
      <c r="J4" s="29"/>
      <c r="K4" s="29"/>
      <c r="L4" s="29"/>
    </row>
    <row r="5" spans="1:12">
      <c r="A5" s="22"/>
      <c r="B5" s="33">
        <f>'Ind T1'!B5</f>
        <v>2015</v>
      </c>
      <c r="C5" s="33">
        <f>'Ind T1'!C5</f>
        <v>2019</v>
      </c>
      <c r="D5" s="33">
        <f>'Ind T1'!D5</f>
        <v>2020</v>
      </c>
      <c r="E5" s="33">
        <f>'Ind T1'!E5</f>
        <v>2025</v>
      </c>
      <c r="F5" s="33">
        <f>'Ind T1'!F5</f>
        <v>2035</v>
      </c>
      <c r="H5" s="30" t="str">
        <f>CONCATENATE(B$5,"-",C$5)</f>
        <v>2015-2019</v>
      </c>
      <c r="I5" s="30" t="str">
        <f>CONCATENATE(C$5,"-",D$5)</f>
        <v>2019-2020</v>
      </c>
      <c r="J5" s="30" t="str">
        <f>CONCATENATE(D$5,"-",E$5)</f>
        <v>2020-2025</v>
      </c>
      <c r="K5" s="30" t="str">
        <f>CONCATENATE(E$5,"-",F$5)</f>
        <v>2025-2035</v>
      </c>
      <c r="L5" s="30" t="str">
        <f>CONCATENATE(D$5,"-",F$5)</f>
        <v>2020-2035</v>
      </c>
    </row>
    <row r="7" spans="1:12" s="25" customFormat="1">
      <c r="A7" s="25" t="str">
        <f>'Ind T1'!A7</f>
        <v>Primary sector and utilities</v>
      </c>
      <c r="B7" s="26">
        <f>'Ind T1'!B7</f>
        <v>12.683999999999983</v>
      </c>
      <c r="C7" s="26">
        <f>'Ind T1'!C7</f>
        <v>8.5460000000000029</v>
      </c>
      <c r="D7" s="26">
        <f>'Ind T1'!D7</f>
        <v>7.0439999999999952</v>
      </c>
      <c r="E7" s="26">
        <f>'Ind T1'!E7</f>
        <v>7.0899999999999981</v>
      </c>
      <c r="F7" s="26">
        <f>'Ind T1'!F7</f>
        <v>7.1439999999999904</v>
      </c>
      <c r="H7" s="26">
        <f>C7-B7</f>
        <v>-4.1379999999999804</v>
      </c>
      <c r="I7" s="26">
        <f>D7-C7</f>
        <v>-1.5020000000000078</v>
      </c>
      <c r="J7" s="26">
        <f>E7-D7</f>
        <v>4.6000000000002927E-2</v>
      </c>
      <c r="K7" s="26">
        <f>F7-E7</f>
        <v>5.3999999999992276E-2</v>
      </c>
      <c r="L7" s="26">
        <f>F7-D7</f>
        <v>9.9999999999995204E-2</v>
      </c>
    </row>
    <row r="8" spans="1:12">
      <c r="A8" t="str">
        <f>'Ind T2'!A5</f>
        <v>Agriculture</v>
      </c>
      <c r="B8" s="363">
        <f>'Ind T2'!B5</f>
        <v>2.9649999999999994</v>
      </c>
      <c r="C8" s="363">
        <f>'Ind T2'!C5</f>
        <v>2.2860000000000018</v>
      </c>
      <c r="D8" s="363">
        <f>'Ind T2'!D5</f>
        <v>1.1150000000000004</v>
      </c>
      <c r="E8" s="363">
        <f>'Ind T2'!E5</f>
        <v>1.2120000000000004</v>
      </c>
      <c r="F8" s="363">
        <f>'Ind T2'!F5</f>
        <v>1.214999999999997</v>
      </c>
      <c r="H8" s="11">
        <f t="shared" ref="H8:H40" si="0">C8-B8</f>
        <v>-0.67899999999999761</v>
      </c>
      <c r="I8" s="26">
        <f t="shared" ref="I8:I38" si="1">D8-C8</f>
        <v>-1.1710000000000014</v>
      </c>
      <c r="J8" s="11">
        <f t="shared" ref="J8:J38" si="2">E8-D8</f>
        <v>9.6999999999999975E-2</v>
      </c>
      <c r="K8" s="11">
        <f t="shared" ref="K8:K38" si="3">F8-E8</f>
        <v>2.999999999996561E-3</v>
      </c>
      <c r="L8" s="26">
        <f t="shared" ref="L8:L40" si="4">F8-D8</f>
        <v>9.9999999999996536E-2</v>
      </c>
    </row>
    <row r="9" spans="1:12">
      <c r="A9" t="str">
        <f>'Ind T2'!A6</f>
        <v>Mining and quarrying</v>
      </c>
      <c r="B9" s="363">
        <f>'Ind T2'!B6</f>
        <v>0.16200000000000025</v>
      </c>
      <c r="C9" s="363">
        <f>'Ind T2'!C6</f>
        <v>0.14499999999999991</v>
      </c>
      <c r="D9" s="363">
        <f>'Ind T2'!D6</f>
        <v>0.15500000000000022</v>
      </c>
      <c r="E9" s="363">
        <f>'Ind T2'!E6</f>
        <v>0.10899999999999997</v>
      </c>
      <c r="F9" s="363">
        <f>'Ind T2'!F6</f>
        <v>6.2999999999999945E-2</v>
      </c>
      <c r="H9" s="11">
        <f t="shared" si="0"/>
        <v>-1.7000000000000348E-2</v>
      </c>
      <c r="I9" s="26">
        <f t="shared" si="1"/>
        <v>1.0000000000000314E-2</v>
      </c>
      <c r="J9" s="11">
        <f t="shared" si="2"/>
        <v>-4.6000000000000249E-2</v>
      </c>
      <c r="K9" s="11">
        <f t="shared" si="3"/>
        <v>-4.6000000000000027E-2</v>
      </c>
      <c r="L9" s="26">
        <f t="shared" si="4"/>
        <v>-9.2000000000000276E-2</v>
      </c>
    </row>
    <row r="10" spans="1:12">
      <c r="A10" t="str">
        <f>'Ind T2'!A10</f>
        <v>Electricity and gas</v>
      </c>
      <c r="B10" s="363">
        <f>'Ind T2'!B10</f>
        <v>5.225000000000005</v>
      </c>
      <c r="C10" s="363">
        <f>'Ind T2'!C10</f>
        <v>1.7090000000000003</v>
      </c>
      <c r="D10" s="363">
        <f>'Ind T2'!D10</f>
        <v>1.9709999999999988</v>
      </c>
      <c r="E10" s="363">
        <f>'Ind T2'!E10</f>
        <v>1.8559999999999983</v>
      </c>
      <c r="F10" s="363">
        <f>'Ind T2'!F10</f>
        <v>1.8180000000000041</v>
      </c>
      <c r="H10" s="11">
        <f t="shared" si="0"/>
        <v>-3.5160000000000045</v>
      </c>
      <c r="I10" s="26">
        <f t="shared" si="1"/>
        <v>0.26199999999999846</v>
      </c>
      <c r="J10" s="11">
        <f t="shared" si="2"/>
        <v>-0.11500000000000044</v>
      </c>
      <c r="K10" s="11">
        <f t="shared" si="3"/>
        <v>-3.7999999999994261E-2</v>
      </c>
      <c r="L10" s="26">
        <f t="shared" si="4"/>
        <v>-0.1529999999999947</v>
      </c>
    </row>
    <row r="11" spans="1:12">
      <c r="A11" t="str">
        <f>'Ind T2'!A11</f>
        <v>Water and sewerage</v>
      </c>
      <c r="B11" s="363">
        <f>'Ind T2'!B11</f>
        <v>4.3319999999999785</v>
      </c>
      <c r="C11" s="363">
        <f>'Ind T2'!C11</f>
        <v>4.4060000000000006</v>
      </c>
      <c r="D11" s="363">
        <f>'Ind T2'!D11</f>
        <v>3.8029999999999959</v>
      </c>
      <c r="E11" s="363">
        <f>'Ind T2'!E11</f>
        <v>3.9129999999999989</v>
      </c>
      <c r="F11" s="363">
        <f>'Ind T2'!F11</f>
        <v>4.0479999999999894</v>
      </c>
      <c r="H11" s="11">
        <f t="shared" ref="H11" si="5">C11-B11</f>
        <v>7.4000000000022048E-2</v>
      </c>
      <c r="I11" s="26">
        <f t="shared" ref="I11" si="6">D11-C11</f>
        <v>-0.60300000000000464</v>
      </c>
      <c r="J11" s="11">
        <f t="shared" ref="J11" si="7">E11-D11</f>
        <v>0.11000000000000298</v>
      </c>
      <c r="K11" s="11">
        <f t="shared" ref="K11" si="8">F11-E11</f>
        <v>0.13499999999999046</v>
      </c>
      <c r="L11" s="26">
        <f t="shared" si="4"/>
        <v>0.24499999999999345</v>
      </c>
    </row>
    <row r="12" spans="1:12">
      <c r="B12" s="363"/>
      <c r="C12" s="363"/>
      <c r="D12" s="363"/>
      <c r="E12" s="363"/>
      <c r="F12" s="363"/>
      <c r="H12" s="11"/>
      <c r="I12" s="26"/>
      <c r="J12" s="11"/>
      <c r="K12" s="11"/>
      <c r="L12" s="26"/>
    </row>
    <row r="13" spans="1:12" s="25" customFormat="1">
      <c r="A13" s="25" t="str">
        <f>'Ind T1'!A8</f>
        <v>Manufacturing</v>
      </c>
      <c r="B13" s="26">
        <f>'Ind T1'!B8</f>
        <v>68.65899999999985</v>
      </c>
      <c r="C13" s="26">
        <f>'Ind T1'!C8</f>
        <v>69.284999999999911</v>
      </c>
      <c r="D13" s="26">
        <f>'Ind T1'!D8</f>
        <v>63.879000000000048</v>
      </c>
      <c r="E13" s="26">
        <f>'Ind T1'!E8</f>
        <v>62.48700000000003</v>
      </c>
      <c r="F13" s="26">
        <f>'Ind T1'!F8</f>
        <v>56.889999999999958</v>
      </c>
      <c r="H13" s="26">
        <f t="shared" si="0"/>
        <v>0.62600000000006162</v>
      </c>
      <c r="I13" s="26">
        <f t="shared" si="1"/>
        <v>-5.4059999999998638</v>
      </c>
      <c r="J13" s="26">
        <f t="shared" si="2"/>
        <v>-1.3920000000000172</v>
      </c>
      <c r="K13" s="26">
        <f t="shared" si="3"/>
        <v>-5.5970000000000724</v>
      </c>
      <c r="L13" s="26">
        <f t="shared" si="4"/>
        <v>-6.9890000000000896</v>
      </c>
    </row>
    <row r="14" spans="1:12">
      <c r="A14" t="str">
        <f>'Ind T2'!A7</f>
        <v>Food drink and tobacco</v>
      </c>
      <c r="B14" s="363">
        <f>'Ind T2'!B7</f>
        <v>7.0119999999999845</v>
      </c>
      <c r="C14" s="363">
        <f>'Ind T2'!C7</f>
        <v>6.3419999999999961</v>
      </c>
      <c r="D14" s="363">
        <f>'Ind T2'!D7</f>
        <v>6.2970000000000033</v>
      </c>
      <c r="E14" s="363">
        <f>'Ind T2'!E7</f>
        <v>6.3359999999999985</v>
      </c>
      <c r="F14" s="363">
        <f>'Ind T2'!F7</f>
        <v>6.1889999999999805</v>
      </c>
      <c r="H14" s="11">
        <f t="shared" si="0"/>
        <v>-0.66999999999998838</v>
      </c>
      <c r="I14" s="26">
        <f t="shared" si="1"/>
        <v>-4.4999999999992824E-2</v>
      </c>
      <c r="J14" s="11">
        <f t="shared" si="2"/>
        <v>3.8999999999995261E-2</v>
      </c>
      <c r="K14" s="11">
        <f t="shared" si="3"/>
        <v>-0.14700000000001801</v>
      </c>
      <c r="L14" s="26">
        <f t="shared" si="4"/>
        <v>-0.10800000000002274</v>
      </c>
    </row>
    <row r="15" spans="1:12">
      <c r="A15" t="str">
        <f>'Ind T2'!A8</f>
        <v>Engineering</v>
      </c>
      <c r="B15" s="363">
        <f>'Ind T2'!B8</f>
        <v>6.9600000000000088</v>
      </c>
      <c r="C15" s="363">
        <f>'Ind T2'!C8</f>
        <v>8.166999999999998</v>
      </c>
      <c r="D15" s="363">
        <f>'Ind T2'!D8</f>
        <v>7.4149999999999814</v>
      </c>
      <c r="E15" s="363">
        <f>'Ind T2'!E8</f>
        <v>7.8680000000000101</v>
      </c>
      <c r="F15" s="363">
        <f>'Ind T2'!F8</f>
        <v>7.0909999999999993</v>
      </c>
      <c r="H15" s="11">
        <f t="shared" si="0"/>
        <v>1.2069999999999892</v>
      </c>
      <c r="I15" s="26">
        <f t="shared" si="1"/>
        <v>-0.75200000000001666</v>
      </c>
      <c r="J15" s="11">
        <f t="shared" si="2"/>
        <v>0.45300000000002871</v>
      </c>
      <c r="K15" s="11">
        <f t="shared" si="3"/>
        <v>-0.77700000000001079</v>
      </c>
      <c r="L15" s="26">
        <f t="shared" si="4"/>
        <v>-0.32399999999998208</v>
      </c>
    </row>
    <row r="16" spans="1:12">
      <c r="A16" t="str">
        <f>'Ind T2'!A9</f>
        <v>Rest of manufacturing</v>
      </c>
      <c r="B16" s="363">
        <f>'Ind T2'!B9</f>
        <v>54.686999999999863</v>
      </c>
      <c r="C16" s="363">
        <f>'Ind T2'!C9</f>
        <v>54.775999999999925</v>
      </c>
      <c r="D16" s="363">
        <f>'Ind T2'!D9</f>
        <v>50.167000000000066</v>
      </c>
      <c r="E16" s="363">
        <f>'Ind T2'!E9</f>
        <v>48.283000000000023</v>
      </c>
      <c r="F16" s="363">
        <f>'Ind T2'!F9</f>
        <v>43.609999999999978</v>
      </c>
      <c r="H16" s="11">
        <f t="shared" si="0"/>
        <v>8.9000000000062585E-2</v>
      </c>
      <c r="I16" s="26">
        <f t="shared" si="1"/>
        <v>-4.6089999999998597</v>
      </c>
      <c r="J16" s="11">
        <f t="shared" si="2"/>
        <v>-1.884000000000043</v>
      </c>
      <c r="K16" s="11">
        <f t="shared" si="3"/>
        <v>-4.6730000000000445</v>
      </c>
      <c r="L16" s="26">
        <f t="shared" si="4"/>
        <v>-6.5570000000000874</v>
      </c>
    </row>
    <row r="17" spans="1:12">
      <c r="B17" s="363"/>
      <c r="C17" s="363"/>
      <c r="D17" s="363"/>
      <c r="E17" s="363"/>
      <c r="F17" s="363"/>
      <c r="H17" s="11"/>
      <c r="I17" s="26">
        <f t="shared" si="1"/>
        <v>0</v>
      </c>
      <c r="J17" s="11"/>
      <c r="K17" s="11"/>
      <c r="L17" s="26"/>
    </row>
    <row r="18" spans="1:12" s="25" customFormat="1">
      <c r="A18" s="25" t="str">
        <f>'Ind T1'!A9</f>
        <v>Construction</v>
      </c>
      <c r="B18" s="26">
        <f>'Ind T1'!B9</f>
        <v>31.762999999999966</v>
      </c>
      <c r="C18" s="26">
        <f>'Ind T1'!C9</f>
        <v>39.074999999999896</v>
      </c>
      <c r="D18" s="26">
        <f>'Ind T1'!D9</f>
        <v>37.014999999999908</v>
      </c>
      <c r="E18" s="26">
        <f>'Ind T1'!E9</f>
        <v>36.903999999999947</v>
      </c>
      <c r="F18" s="26">
        <f>'Ind T1'!F9</f>
        <v>37.449999999999925</v>
      </c>
      <c r="H18" s="26">
        <f t="shared" si="0"/>
        <v>7.3119999999999301</v>
      </c>
      <c r="I18" s="26">
        <f t="shared" si="1"/>
        <v>-2.0599999999999881</v>
      </c>
      <c r="J18" s="26">
        <f t="shared" si="2"/>
        <v>-0.11099999999996157</v>
      </c>
      <c r="K18" s="26">
        <f t="shared" si="3"/>
        <v>0.54599999999997806</v>
      </c>
      <c r="L18" s="26">
        <f t="shared" si="4"/>
        <v>0.43500000000001648</v>
      </c>
    </row>
    <row r="19" spans="1:12">
      <c r="A19" s="25"/>
      <c r="B19" s="363"/>
      <c r="C19" s="363"/>
      <c r="D19" s="363"/>
      <c r="E19" s="363"/>
      <c r="F19" s="363"/>
      <c r="H19" s="11"/>
      <c r="I19" s="26"/>
      <c r="J19" s="11"/>
      <c r="K19" s="11"/>
      <c r="L19" s="26"/>
    </row>
    <row r="20" spans="1:12" s="25" customFormat="1">
      <c r="A20" s="25" t="str">
        <f>'Ind T1'!A10</f>
        <v>Trade, accomod. and transport</v>
      </c>
      <c r="B20" s="26">
        <f>'Ind T1'!B10</f>
        <v>147.42899999999986</v>
      </c>
      <c r="C20" s="26">
        <f>'Ind T1'!C10</f>
        <v>146.70800000000003</v>
      </c>
      <c r="D20" s="26">
        <f>'Ind T1'!D10</f>
        <v>144.72400000000016</v>
      </c>
      <c r="E20" s="26">
        <f>'Ind T1'!E10</f>
        <v>150.0100000000003</v>
      </c>
      <c r="F20" s="26">
        <f>'Ind T1'!F10</f>
        <v>155.9559999999997</v>
      </c>
      <c r="H20" s="26">
        <f t="shared" si="0"/>
        <v>-0.72099999999983311</v>
      </c>
      <c r="I20" s="26">
        <f t="shared" si="1"/>
        <v>-1.9839999999998668</v>
      </c>
      <c r="J20" s="26">
        <f t="shared" si="2"/>
        <v>5.2860000000001435</v>
      </c>
      <c r="K20" s="26">
        <f t="shared" si="3"/>
        <v>5.9459999999994011</v>
      </c>
      <c r="L20" s="26">
        <f t="shared" si="4"/>
        <v>11.231999999999545</v>
      </c>
    </row>
    <row r="21" spans="1:12">
      <c r="A21" s="10" t="str">
        <f>'Ind T2'!A13</f>
        <v>Wholesale and retail trade</v>
      </c>
      <c r="B21" s="363">
        <f>'Ind T2'!B13</f>
        <v>92.065999999999903</v>
      </c>
      <c r="C21" s="363">
        <f>'Ind T2'!C13</f>
        <v>88.56</v>
      </c>
      <c r="D21" s="363">
        <f>'Ind T2'!D13</f>
        <v>87.074000000000183</v>
      </c>
      <c r="E21" s="363">
        <f>'Ind T2'!E13</f>
        <v>87.879000000000161</v>
      </c>
      <c r="F21" s="363">
        <f>'Ind T2'!F13</f>
        <v>88.842999999999677</v>
      </c>
      <c r="H21" s="11">
        <f t="shared" si="0"/>
        <v>-3.5059999999999008</v>
      </c>
      <c r="I21" s="26">
        <f t="shared" si="1"/>
        <v>-1.4859999999998195</v>
      </c>
      <c r="J21" s="11">
        <f t="shared" si="2"/>
        <v>0.8049999999999784</v>
      </c>
      <c r="K21" s="11">
        <f t="shared" si="3"/>
        <v>0.96399999999951547</v>
      </c>
      <c r="L21" s="26">
        <f t="shared" si="4"/>
        <v>1.7689999999994939</v>
      </c>
    </row>
    <row r="22" spans="1:12">
      <c r="A22" s="10" t="str">
        <f>'Ind T2'!A14</f>
        <v>Transport and storage</v>
      </c>
      <c r="B22" s="363">
        <f>'Ind T2'!B14</f>
        <v>33.456999999999994</v>
      </c>
      <c r="C22" s="363">
        <f>'Ind T2'!C14</f>
        <v>34.173000000000059</v>
      </c>
      <c r="D22" s="363">
        <f>'Ind T2'!D14</f>
        <v>32.947999999999944</v>
      </c>
      <c r="E22" s="363">
        <f>'Ind T2'!E14</f>
        <v>35.964000000000077</v>
      </c>
      <c r="F22" s="363">
        <f>'Ind T2'!F14</f>
        <v>37.761000000000067</v>
      </c>
      <c r="H22" s="11">
        <f t="shared" si="0"/>
        <v>0.71600000000006503</v>
      </c>
      <c r="I22" s="26">
        <f t="shared" si="1"/>
        <v>-1.2250000000001151</v>
      </c>
      <c r="J22" s="11">
        <f t="shared" si="2"/>
        <v>3.0160000000001332</v>
      </c>
      <c r="K22" s="11">
        <f t="shared" si="3"/>
        <v>1.7969999999999899</v>
      </c>
      <c r="L22" s="26">
        <f t="shared" si="4"/>
        <v>4.8130000000001232</v>
      </c>
    </row>
    <row r="23" spans="1:12">
      <c r="A23" s="10" t="str">
        <f>'Ind T2'!A15</f>
        <v>Accommodation and food</v>
      </c>
      <c r="B23" s="363">
        <f>'Ind T2'!B15</f>
        <v>21.905999999999963</v>
      </c>
      <c r="C23" s="363">
        <f>'Ind T2'!C15</f>
        <v>23.974999999999959</v>
      </c>
      <c r="D23" s="363">
        <f>'Ind T2'!D15</f>
        <v>24.702000000000027</v>
      </c>
      <c r="E23" s="363">
        <f>'Ind T2'!E15</f>
        <v>26.167000000000062</v>
      </c>
      <c r="F23" s="363">
        <f>'Ind T2'!F15</f>
        <v>29.351999999999972</v>
      </c>
      <c r="H23" s="11">
        <f t="shared" si="0"/>
        <v>2.0689999999999955</v>
      </c>
      <c r="I23" s="26">
        <f t="shared" si="1"/>
        <v>0.72700000000006781</v>
      </c>
      <c r="J23" s="11">
        <f t="shared" si="2"/>
        <v>1.4650000000000354</v>
      </c>
      <c r="K23" s="11">
        <f t="shared" si="3"/>
        <v>3.1849999999999099</v>
      </c>
      <c r="L23" s="26">
        <f t="shared" si="4"/>
        <v>4.6499999999999453</v>
      </c>
    </row>
    <row r="24" spans="1:12">
      <c r="B24" s="363"/>
      <c r="C24" s="363"/>
      <c r="D24" s="363"/>
      <c r="E24" s="363"/>
      <c r="F24" s="363"/>
      <c r="H24" s="11"/>
      <c r="I24" s="26"/>
      <c r="J24" s="11"/>
      <c r="K24" s="11"/>
      <c r="L24" s="26"/>
    </row>
    <row r="25" spans="1:12" s="25" customFormat="1">
      <c r="A25" s="25" t="str">
        <f>'Ind T1'!A11</f>
        <v>Business and other services</v>
      </c>
      <c r="B25" s="26">
        <f>'Ind T1'!B11</f>
        <v>123.34700000000012</v>
      </c>
      <c r="C25" s="26">
        <f>'Ind T1'!C11</f>
        <v>113.62800000000009</v>
      </c>
      <c r="D25" s="26">
        <f>'Ind T1'!D11</f>
        <v>111.41800000000002</v>
      </c>
      <c r="E25" s="26">
        <f>'Ind T1'!E11</f>
        <v>113.29000000000006</v>
      </c>
      <c r="F25" s="26">
        <f>'Ind T1'!F11</f>
        <v>117.91199999999999</v>
      </c>
      <c r="H25" s="26">
        <f t="shared" si="0"/>
        <v>-9.7190000000000367</v>
      </c>
      <c r="I25" s="26">
        <f t="shared" si="1"/>
        <v>-2.2100000000000648</v>
      </c>
      <c r="J25" s="26">
        <f t="shared" si="2"/>
        <v>1.8720000000000425</v>
      </c>
      <c r="K25" s="26">
        <f t="shared" si="3"/>
        <v>4.6219999999999288</v>
      </c>
      <c r="L25" s="26">
        <f t="shared" si="4"/>
        <v>6.4939999999999714</v>
      </c>
    </row>
    <row r="26" spans="1:12">
      <c r="A26" s="10" t="str">
        <f>'Ind T2'!A16</f>
        <v>Media</v>
      </c>
      <c r="B26" s="11">
        <f>'Ind T2'!B16</f>
        <v>1.7079999999999989</v>
      </c>
      <c r="C26" s="11">
        <f>'Ind T2'!C16</f>
        <v>1.8249999999999982</v>
      </c>
      <c r="D26" s="11">
        <f>'Ind T2'!D16</f>
        <v>2.1099999999999994</v>
      </c>
      <c r="E26" s="11">
        <f>'Ind T2'!E16</f>
        <v>2.0780000000000038</v>
      </c>
      <c r="F26" s="11">
        <f>'Ind T2'!F16</f>
        <v>2.105999999999995</v>
      </c>
      <c r="H26" s="11">
        <f t="shared" si="0"/>
        <v>0.11699999999999933</v>
      </c>
      <c r="I26" s="26">
        <f t="shared" si="1"/>
        <v>0.28500000000000125</v>
      </c>
      <c r="J26" s="11">
        <f t="shared" si="2"/>
        <v>-3.1999999999995588E-2</v>
      </c>
      <c r="K26" s="11">
        <f t="shared" si="3"/>
        <v>2.7999999999991143E-2</v>
      </c>
      <c r="L26" s="26">
        <f t="shared" si="4"/>
        <v>-4.0000000000044444E-3</v>
      </c>
    </row>
    <row r="27" spans="1:12">
      <c r="A27" s="10" t="str">
        <f>'Ind T2'!A17</f>
        <v>Information technology</v>
      </c>
      <c r="B27" s="11">
        <f>'Ind T2'!B17</f>
        <v>6.5380000000000287</v>
      </c>
      <c r="C27" s="11">
        <f>'Ind T2'!C17</f>
        <v>6.394000000000017</v>
      </c>
      <c r="D27" s="11">
        <f>'Ind T2'!D17</f>
        <v>6.8729999999999887</v>
      </c>
      <c r="E27" s="11">
        <f>'Ind T2'!E17</f>
        <v>7.1499999999999702</v>
      </c>
      <c r="F27" s="11">
        <f>'Ind T2'!F17</f>
        <v>7.3899999999999935</v>
      </c>
      <c r="H27" s="11">
        <f t="shared" si="0"/>
        <v>-0.14400000000001167</v>
      </c>
      <c r="I27" s="26">
        <f t="shared" si="1"/>
        <v>0.47899999999997167</v>
      </c>
      <c r="J27" s="11">
        <f t="shared" si="2"/>
        <v>0.27699999999998148</v>
      </c>
      <c r="K27" s="11">
        <f t="shared" si="3"/>
        <v>0.24000000000002331</v>
      </c>
      <c r="L27" s="26">
        <f t="shared" si="4"/>
        <v>0.51700000000000479</v>
      </c>
    </row>
    <row r="28" spans="1:12">
      <c r="A28" s="10" t="str">
        <f>'Ind T2'!A18</f>
        <v>Finance and insurance</v>
      </c>
      <c r="B28" s="11">
        <f>'Ind T2'!B18</f>
        <v>10.219000000000021</v>
      </c>
      <c r="C28" s="11">
        <f>'Ind T2'!C18</f>
        <v>10.284000000000029</v>
      </c>
      <c r="D28" s="11">
        <f>'Ind T2'!D18</f>
        <v>10.441000000000011</v>
      </c>
      <c r="E28" s="11">
        <f>'Ind T2'!E18</f>
        <v>10.453999999999997</v>
      </c>
      <c r="F28" s="11">
        <f>'Ind T2'!F18</f>
        <v>10.054000000000002</v>
      </c>
      <c r="H28" s="11">
        <f t="shared" si="0"/>
        <v>6.5000000000008384E-2</v>
      </c>
      <c r="I28" s="26">
        <f t="shared" si="1"/>
        <v>0.15699999999998226</v>
      </c>
      <c r="J28" s="11">
        <f t="shared" si="2"/>
        <v>1.299999999998569E-2</v>
      </c>
      <c r="K28" s="11">
        <f t="shared" si="3"/>
        <v>-0.39999999999999503</v>
      </c>
      <c r="L28" s="26">
        <f t="shared" si="4"/>
        <v>-0.38700000000000934</v>
      </c>
    </row>
    <row r="29" spans="1:12">
      <c r="A29" s="10" t="str">
        <f>'Ind T2'!A19</f>
        <v>Real estate</v>
      </c>
      <c r="B29" s="11">
        <f>'Ind T2'!B19</f>
        <v>7.7230000000000008</v>
      </c>
      <c r="C29" s="11">
        <f>'Ind T2'!C19</f>
        <v>10.185000000000009</v>
      </c>
      <c r="D29" s="11">
        <f>'Ind T2'!D19</f>
        <v>10.240000000000016</v>
      </c>
      <c r="E29" s="11">
        <f>'Ind T2'!E19</f>
        <v>10.307999999999979</v>
      </c>
      <c r="F29" s="11">
        <f>'Ind T2'!F19</f>
        <v>11.238000000000005</v>
      </c>
      <c r="H29" s="11">
        <f t="shared" ref="H29:H31" si="9">C29-B29</f>
        <v>2.4620000000000086</v>
      </c>
      <c r="I29" s="26">
        <f t="shared" ref="I29:I31" si="10">D29-C29</f>
        <v>5.5000000000006821E-2</v>
      </c>
      <c r="J29" s="11">
        <f t="shared" ref="J29:J31" si="11">E29-D29</f>
        <v>6.7999999999962313E-2</v>
      </c>
      <c r="K29" s="11">
        <f t="shared" ref="K29:K31" si="12">F29-E29</f>
        <v>0.93000000000002636</v>
      </c>
      <c r="L29" s="26">
        <f t="shared" si="4"/>
        <v>0.99799999999998867</v>
      </c>
    </row>
    <row r="30" spans="1:12">
      <c r="A30" s="10" t="str">
        <f>'Ind T2'!A20</f>
        <v>Professional services</v>
      </c>
      <c r="B30" s="11">
        <f>'Ind T2'!B20</f>
        <v>28.591999999999977</v>
      </c>
      <c r="C30" s="11">
        <f>'Ind T2'!C20</f>
        <v>24.793999999999993</v>
      </c>
      <c r="D30" s="11">
        <f>'Ind T2'!D20</f>
        <v>24.728999999999964</v>
      </c>
      <c r="E30" s="11">
        <f>'Ind T2'!E20</f>
        <v>25.556000000000012</v>
      </c>
      <c r="F30" s="11">
        <f>'Ind T2'!F20</f>
        <v>26.893000000000079</v>
      </c>
      <c r="H30" s="11">
        <f t="shared" si="9"/>
        <v>-3.7979999999999841</v>
      </c>
      <c r="I30" s="26">
        <f t="shared" si="10"/>
        <v>-6.5000000000029701E-2</v>
      </c>
      <c r="J30" s="11">
        <f t="shared" si="11"/>
        <v>0.82700000000004792</v>
      </c>
      <c r="K30" s="11">
        <f t="shared" si="12"/>
        <v>1.3370000000000672</v>
      </c>
      <c r="L30" s="26">
        <f t="shared" si="4"/>
        <v>2.1640000000001152</v>
      </c>
    </row>
    <row r="31" spans="1:12">
      <c r="A31" s="10" t="str">
        <f>'Ind T2'!A21</f>
        <v>Support services</v>
      </c>
      <c r="B31" s="11">
        <f>'Ind T2'!B21</f>
        <v>40.241000000000078</v>
      </c>
      <c r="C31" s="11">
        <f>'Ind T2'!C21</f>
        <v>34.294000000000032</v>
      </c>
      <c r="D31" s="11">
        <f>'Ind T2'!D21</f>
        <v>32.168000000000021</v>
      </c>
      <c r="E31" s="11">
        <f>'Ind T2'!E21</f>
        <v>33.855000000000089</v>
      </c>
      <c r="F31" s="11">
        <f>'Ind T2'!F21</f>
        <v>35.682999999999957</v>
      </c>
      <c r="H31" s="11">
        <f t="shared" si="9"/>
        <v>-5.9470000000000454</v>
      </c>
      <c r="I31" s="26">
        <f t="shared" si="10"/>
        <v>-2.1260000000000119</v>
      </c>
      <c r="J31" s="11">
        <f t="shared" si="11"/>
        <v>1.6870000000000687</v>
      </c>
      <c r="K31" s="11">
        <f t="shared" si="12"/>
        <v>1.827999999999868</v>
      </c>
      <c r="L31" s="26">
        <f t="shared" si="4"/>
        <v>3.5149999999999366</v>
      </c>
    </row>
    <row r="32" spans="1:12">
      <c r="A32" s="10" t="str">
        <f>'Ind T2'!A25</f>
        <v>Arts and entertainment</v>
      </c>
      <c r="B32" s="11">
        <f>'Ind T2'!B25</f>
        <v>11.902000000000012</v>
      </c>
      <c r="C32" s="11">
        <f>'Ind T2'!C25</f>
        <v>12.170000000000012</v>
      </c>
      <c r="D32" s="11">
        <f>'Ind T2'!D25</f>
        <v>11.910000000000011</v>
      </c>
      <c r="E32" s="11">
        <f>'Ind T2'!E25</f>
        <v>11.284999999999984</v>
      </c>
      <c r="F32" s="11">
        <f>'Ind T2'!F25</f>
        <v>11.952999999999991</v>
      </c>
      <c r="H32" s="11">
        <f t="shared" ref="H32" si="13">C32-B32</f>
        <v>0.26800000000000068</v>
      </c>
      <c r="I32" s="26">
        <f t="shared" ref="I32:I33" si="14">D32-C32</f>
        <v>-0.26000000000000156</v>
      </c>
      <c r="J32" s="11">
        <f t="shared" ref="J32:J33" si="15">E32-D32</f>
        <v>-0.62500000000002665</v>
      </c>
      <c r="K32" s="11">
        <f t="shared" ref="K32:K33" si="16">F32-E32</f>
        <v>0.66800000000000637</v>
      </c>
      <c r="L32" s="26">
        <f t="shared" si="4"/>
        <v>4.2999999999979721E-2</v>
      </c>
    </row>
    <row r="33" spans="1:12">
      <c r="A33" s="10" t="str">
        <f>'Ind T2'!A26</f>
        <v>Other services</v>
      </c>
      <c r="B33" s="11">
        <f>'Ind T2'!B26</f>
        <v>16.423999999999999</v>
      </c>
      <c r="C33" s="11">
        <f>'Ind T2'!C26</f>
        <v>13.682000000000006</v>
      </c>
      <c r="D33" s="11">
        <f>'Ind T2'!D26</f>
        <v>12.947000000000006</v>
      </c>
      <c r="E33" s="11">
        <f>'Ind T2'!E26</f>
        <v>12.604000000000022</v>
      </c>
      <c r="F33" s="11">
        <f>'Ind T2'!F26</f>
        <v>12.594999999999967</v>
      </c>
      <c r="H33" s="11">
        <f>C33-B33</f>
        <v>-2.7419999999999938</v>
      </c>
      <c r="I33" s="26">
        <f t="shared" si="14"/>
        <v>-0.73499999999999943</v>
      </c>
      <c r="J33" s="11">
        <f t="shared" si="15"/>
        <v>-0.34299999999998398</v>
      </c>
      <c r="K33" s="11">
        <f t="shared" si="16"/>
        <v>-9.0000000000554081E-3</v>
      </c>
      <c r="L33" s="26">
        <f t="shared" si="4"/>
        <v>-0.35200000000003939</v>
      </c>
    </row>
    <row r="34" spans="1:12">
      <c r="B34" s="363"/>
      <c r="C34" s="363"/>
      <c r="D34" s="363"/>
      <c r="E34" s="363"/>
      <c r="F34" s="363"/>
      <c r="H34" s="11"/>
      <c r="I34" s="26"/>
      <c r="J34" s="11"/>
      <c r="K34" s="11"/>
      <c r="L34" s="26"/>
    </row>
    <row r="35" spans="1:12" s="25" customFormat="1">
      <c r="A35" s="25" t="str">
        <f>'Ind T1'!A12</f>
        <v>Non-marketed services</v>
      </c>
      <c r="B35" s="26">
        <f>'Ind T1'!B12</f>
        <v>121.68000000000023</v>
      </c>
      <c r="C35" s="26">
        <f>'Ind T1'!C12</f>
        <v>132.68899999999999</v>
      </c>
      <c r="D35" s="26">
        <f>'Ind T1'!D12</f>
        <v>132.11400000000006</v>
      </c>
      <c r="E35" s="26">
        <f>'Ind T1'!E12</f>
        <v>138.34700000000004</v>
      </c>
      <c r="F35" s="26">
        <f>'Ind T1'!F12</f>
        <v>146.59199999999998</v>
      </c>
      <c r="H35" s="26">
        <f t="shared" si="0"/>
        <v>11.008999999999759</v>
      </c>
      <c r="I35" s="26">
        <f t="shared" si="1"/>
        <v>-0.57499999999993179</v>
      </c>
      <c r="J35" s="26">
        <f t="shared" si="2"/>
        <v>6.2329999999999757</v>
      </c>
      <c r="K35" s="26">
        <f t="shared" si="3"/>
        <v>8.2449999999999477</v>
      </c>
      <c r="L35" s="26">
        <f t="shared" si="4"/>
        <v>14.477999999999923</v>
      </c>
    </row>
    <row r="36" spans="1:12">
      <c r="A36" s="10" t="str">
        <f>'Ind T2'!A22</f>
        <v>Public admin. and defence</v>
      </c>
      <c r="B36" s="363">
        <f>'Ind T2'!B22</f>
        <v>16.002999999999975</v>
      </c>
      <c r="C36" s="363">
        <f>'Ind T2'!C22</f>
        <v>15.454000000000013</v>
      </c>
      <c r="D36" s="363">
        <f>'Ind T2'!D22</f>
        <v>15.280999999999985</v>
      </c>
      <c r="E36" s="363">
        <f>'Ind T2'!E22</f>
        <v>15.55399999999999</v>
      </c>
      <c r="F36" s="363">
        <f>'Ind T2'!F22</f>
        <v>16.224999999999966</v>
      </c>
      <c r="H36" s="11">
        <f t="shared" si="0"/>
        <v>-0.54899999999996218</v>
      </c>
      <c r="I36" s="26">
        <f t="shared" si="1"/>
        <v>-0.17300000000002846</v>
      </c>
      <c r="J36" s="11">
        <f t="shared" si="2"/>
        <v>0.27300000000000502</v>
      </c>
      <c r="K36" s="11">
        <f t="shared" si="3"/>
        <v>0.67099999999997628</v>
      </c>
      <c r="L36" s="26">
        <f t="shared" si="4"/>
        <v>0.9439999999999813</v>
      </c>
    </row>
    <row r="37" spans="1:12">
      <c r="A37" s="10" t="str">
        <f>'Ind T2'!A23</f>
        <v>Education</v>
      </c>
      <c r="B37" s="363">
        <f>'Ind T2'!B23</f>
        <v>44.810000000000123</v>
      </c>
      <c r="C37" s="363">
        <f>'Ind T2'!C23</f>
        <v>44.405000000000058</v>
      </c>
      <c r="D37" s="363">
        <f>'Ind T2'!D23</f>
        <v>45.063000000000045</v>
      </c>
      <c r="E37" s="363">
        <f>'Ind T2'!E23</f>
        <v>46.277999999999977</v>
      </c>
      <c r="F37" s="363">
        <f>'Ind T2'!F23</f>
        <v>49.163999999999959</v>
      </c>
      <c r="H37" s="11">
        <f t="shared" si="0"/>
        <v>-0.40500000000006509</v>
      </c>
      <c r="I37" s="26">
        <f t="shared" si="1"/>
        <v>0.65799999999998704</v>
      </c>
      <c r="J37" s="11">
        <f t="shared" si="2"/>
        <v>1.2149999999999324</v>
      </c>
      <c r="K37" s="11">
        <f t="shared" si="3"/>
        <v>2.8859999999999815</v>
      </c>
      <c r="L37" s="26">
        <f t="shared" si="4"/>
        <v>4.1009999999999138</v>
      </c>
    </row>
    <row r="38" spans="1:12">
      <c r="A38" s="10" t="str">
        <f>'Ind T2'!A24</f>
        <v>Health and social work</v>
      </c>
      <c r="B38" s="363">
        <f>'Ind T2'!B24</f>
        <v>60.867000000000125</v>
      </c>
      <c r="C38" s="363">
        <f>'Ind T2'!C24</f>
        <v>72.829999999999927</v>
      </c>
      <c r="D38" s="363">
        <f>'Ind T2'!D24</f>
        <v>71.770000000000039</v>
      </c>
      <c r="E38" s="363">
        <f>'Ind T2'!E24</f>
        <v>76.515000000000086</v>
      </c>
      <c r="F38" s="363">
        <f>'Ind T2'!F24</f>
        <v>81.203000000000074</v>
      </c>
      <c r="H38" s="11">
        <f t="shared" si="0"/>
        <v>11.962999999999802</v>
      </c>
      <c r="I38" s="26">
        <f t="shared" si="1"/>
        <v>-1.0599999999998886</v>
      </c>
      <c r="J38" s="11">
        <f t="shared" si="2"/>
        <v>4.7450000000000472</v>
      </c>
      <c r="K38" s="11">
        <f t="shared" si="3"/>
        <v>4.6879999999999882</v>
      </c>
      <c r="L38" s="26">
        <f t="shared" si="4"/>
        <v>9.4330000000000354</v>
      </c>
    </row>
    <row r="39" spans="1:12">
      <c r="B39" s="363"/>
      <c r="C39" s="363"/>
      <c r="D39" s="363"/>
      <c r="E39" s="363"/>
      <c r="F39" s="363"/>
      <c r="H39" s="11"/>
      <c r="I39" s="11"/>
      <c r="J39" s="11"/>
      <c r="K39" s="11"/>
      <c r="L39" s="26"/>
    </row>
    <row r="40" spans="1:12">
      <c r="A40" s="364" t="str">
        <f>'Ind T1'!A14</f>
        <v>All industries</v>
      </c>
      <c r="B40" s="365">
        <f>'Ind T1'!B14</f>
        <v>505.56199999999995</v>
      </c>
      <c r="C40" s="365">
        <f>'Ind T1'!C14</f>
        <v>509.93099999999993</v>
      </c>
      <c r="D40" s="365">
        <f>'Ind T1'!D14</f>
        <v>496.19400000000019</v>
      </c>
      <c r="E40" s="365">
        <f>'Ind T1'!E14</f>
        <v>508.12800000000038</v>
      </c>
      <c r="F40" s="365">
        <f>'Ind T1'!F14</f>
        <v>521.94399999999951</v>
      </c>
      <c r="G40" s="22"/>
      <c r="H40" s="27">
        <f t="shared" si="0"/>
        <v>4.3689999999999714</v>
      </c>
      <c r="I40" s="27">
        <f>D40-C40</f>
        <v>-13.736999999999739</v>
      </c>
      <c r="J40" s="27">
        <f>E40-D40</f>
        <v>11.934000000000196</v>
      </c>
      <c r="K40" s="27">
        <f>F40-E40</f>
        <v>13.815999999999121</v>
      </c>
      <c r="L40" s="182">
        <f t="shared" si="4"/>
        <v>25.749999999999318</v>
      </c>
    </row>
    <row r="44" spans="1:12" ht="15.75">
      <c r="A44" s="18" t="str">
        <f>CONCATENATE(A1," (Continued)")</f>
        <v>Industry Table 4  Employment by Industry Group in Sector (SIC 2007), 2015-2035, Black Country (Continued)</v>
      </c>
    </row>
    <row r="46" spans="1:12">
      <c r="L46" s="16" t="s">
        <v>129</v>
      </c>
    </row>
    <row r="47" spans="1:12">
      <c r="A47" s="29"/>
      <c r="B47" s="24" t="s">
        <v>123</v>
      </c>
      <c r="C47" s="24"/>
      <c r="D47" s="24"/>
      <c r="E47" s="24"/>
      <c r="F47" s="24"/>
      <c r="G47" s="24"/>
      <c r="H47" s="24" t="s">
        <v>122</v>
      </c>
      <c r="I47" s="24"/>
      <c r="J47" s="24"/>
      <c r="K47" s="24"/>
      <c r="L47" s="24"/>
    </row>
    <row r="48" spans="1:12">
      <c r="A48" s="22"/>
      <c r="B48" s="30" t="str">
        <f>H5</f>
        <v>2015-2019</v>
      </c>
      <c r="C48" s="30" t="str">
        <f>I5</f>
        <v>2019-2020</v>
      </c>
      <c r="D48" s="30" t="str">
        <f>J5</f>
        <v>2020-2025</v>
      </c>
      <c r="E48" s="30" t="str">
        <f>K5</f>
        <v>2025-2035</v>
      </c>
      <c r="F48" s="30" t="str">
        <f>L5</f>
        <v>2020-2035</v>
      </c>
      <c r="G48" s="32"/>
      <c r="H48" s="33">
        <f>B5</f>
        <v>2015</v>
      </c>
      <c r="I48" s="33">
        <f>C5</f>
        <v>2019</v>
      </c>
      <c r="J48" s="33">
        <f>D5</f>
        <v>2020</v>
      </c>
      <c r="K48" s="33">
        <f>E5</f>
        <v>2025</v>
      </c>
      <c r="L48" s="33">
        <f>F5</f>
        <v>2035</v>
      </c>
    </row>
    <row r="50" spans="1:12" s="25" customFormat="1">
      <c r="A50" s="25" t="str">
        <f>A7</f>
        <v>Primary sector and utilities</v>
      </c>
      <c r="B50" s="35">
        <f>IF(AND(C$5-B$5 &lt;&gt; 0,B7&lt;&gt;0,C7&lt;&gt;0),(EXP(LN(C7/B7)/(C$5-B$5))-1)*100,0)</f>
        <v>-9.4003199917863434</v>
      </c>
      <c r="C50" s="35">
        <f t="shared" ref="B50:E54" si="17">IF(AND(D$5-C$5 &lt;&gt; 0,C7&lt;&gt;0,D7&lt;&gt;0),(EXP(LN(D7/C7)/(D$5-C$5))-1)*100,0)</f>
        <v>-17.57547390592098</v>
      </c>
      <c r="D50" s="35">
        <f t="shared" si="17"/>
        <v>0.13026777305011894</v>
      </c>
      <c r="E50" s="35">
        <f t="shared" si="17"/>
        <v>7.5903822684342259E-2</v>
      </c>
      <c r="F50" s="35">
        <f>IF(AND(F$5-D$5 &lt;&gt; 0,D7&lt;&gt;0,F7&lt;&gt;0),(EXP(LN(F7/D7)/(F$5-D$5))-1)*100,0)</f>
        <v>9.4021859132298324E-2</v>
      </c>
      <c r="H50" s="35">
        <f>(B7/B$40)*100</f>
        <v>2.5088910954541648</v>
      </c>
      <c r="I50" s="35">
        <f>(C7/C$40)*100</f>
        <v>1.6759130156825148</v>
      </c>
      <c r="J50" s="35">
        <f>(D7/D$40)*100</f>
        <v>1.4196060411855025</v>
      </c>
      <c r="K50" s="35">
        <f>(E7/E$40)*100</f>
        <v>1.3953177152213603</v>
      </c>
      <c r="L50" s="35">
        <f>(F7/F$40)*100</f>
        <v>1.3687292123292913</v>
      </c>
    </row>
    <row r="51" spans="1:12">
      <c r="A51" t="str">
        <f>A8</f>
        <v>Agriculture</v>
      </c>
      <c r="B51" s="31">
        <f t="shared" si="17"/>
        <v>-6.2949747366430886</v>
      </c>
      <c r="C51" s="35">
        <f t="shared" si="17"/>
        <v>-51.224846894138253</v>
      </c>
      <c r="D51" s="31">
        <f t="shared" si="17"/>
        <v>1.6823443259135207</v>
      </c>
      <c r="E51" s="31">
        <f t="shared" si="17"/>
        <v>2.4724947565291089E-2</v>
      </c>
      <c r="F51" s="35">
        <f t="shared" ref="F51:F83" si="18">IF(AND(F$5-D$5 &lt;&gt; 0,D8&lt;&gt;0,F8&lt;&gt;0),(EXP(LN(F8/D8)/(F$5-D$5))-1)*100,0)</f>
        <v>0.5742402872390695</v>
      </c>
      <c r="H51" s="31">
        <f t="shared" ref="H51:L54" si="19">(B8/B$7)*100</f>
        <v>23.375906654052375</v>
      </c>
      <c r="I51" s="31">
        <f t="shared" si="19"/>
        <v>26.749356424058053</v>
      </c>
      <c r="J51" s="31">
        <f t="shared" si="19"/>
        <v>15.829074389551408</v>
      </c>
      <c r="K51" s="31">
        <f t="shared" si="19"/>
        <v>17.094499294781393</v>
      </c>
      <c r="L51" s="31">
        <f t="shared" si="19"/>
        <v>17.00727883538632</v>
      </c>
    </row>
    <row r="52" spans="1:12">
      <c r="A52" t="str">
        <f>A9</f>
        <v>Mining and quarrying</v>
      </c>
      <c r="B52" s="31">
        <f>IF(AND(C$5-B$5 &lt;&gt; 0,B9&lt;&gt;0,C9&lt;&gt;0),(EXP(LN(C9/B9)/(C$5-B$5))-1)*100,0)</f>
        <v>-2.7335093503809249</v>
      </c>
      <c r="C52" s="35">
        <f t="shared" si="17"/>
        <v>6.8965517241381447</v>
      </c>
      <c r="D52" s="31">
        <f t="shared" si="17"/>
        <v>-6.7993459798907363</v>
      </c>
      <c r="E52" s="31">
        <f t="shared" si="17"/>
        <v>-5.3345714789729382</v>
      </c>
      <c r="F52" s="35">
        <f t="shared" si="18"/>
        <v>-5.8253698205932185</v>
      </c>
      <c r="H52" s="31">
        <f t="shared" si="19"/>
        <v>1.2771996215704862</v>
      </c>
      <c r="I52" s="31">
        <f t="shared" si="19"/>
        <v>1.6967002106248523</v>
      </c>
      <c r="J52" s="31">
        <f t="shared" si="19"/>
        <v>2.2004542873367452</v>
      </c>
      <c r="K52" s="31">
        <f t="shared" si="19"/>
        <v>1.53737658674189</v>
      </c>
      <c r="L52" s="31">
        <f t="shared" si="19"/>
        <v>0.8818589025755883</v>
      </c>
    </row>
    <row r="53" spans="1:12">
      <c r="A53" t="str">
        <f>A10</f>
        <v>Electricity and gas</v>
      </c>
      <c r="B53" s="31">
        <f t="shared" si="17"/>
        <v>-24.375251739496395</v>
      </c>
      <c r="C53" s="35">
        <f t="shared" si="17"/>
        <v>15.330602691632444</v>
      </c>
      <c r="D53" s="31">
        <f t="shared" si="17"/>
        <v>-1.1951485565641518</v>
      </c>
      <c r="E53" s="31">
        <f t="shared" si="17"/>
        <v>-0.20665256504541762</v>
      </c>
      <c r="F53" s="35">
        <f t="shared" si="18"/>
        <v>-0.53724519762726741</v>
      </c>
      <c r="H53" s="31">
        <f t="shared" si="19"/>
        <v>41.193629769788807</v>
      </c>
      <c r="I53" s="31">
        <f t="shared" si="19"/>
        <v>19.997659723847409</v>
      </c>
      <c r="J53" s="31">
        <f t="shared" si="19"/>
        <v>27.981260647359456</v>
      </c>
      <c r="K53" s="31">
        <f t="shared" si="19"/>
        <v>26.177715091678404</v>
      </c>
      <c r="L53" s="31">
        <f t="shared" si="19"/>
        <v>25.447928331467057</v>
      </c>
    </row>
    <row r="54" spans="1:12">
      <c r="A54" t="str">
        <f>A11</f>
        <v>Water and sewerage</v>
      </c>
      <c r="B54" s="31">
        <f t="shared" si="17"/>
        <v>0.42434578880083951</v>
      </c>
      <c r="C54" s="35">
        <f t="shared" si="17"/>
        <v>-13.685882886972411</v>
      </c>
      <c r="D54" s="31">
        <f t="shared" si="17"/>
        <v>0.57191149061974755</v>
      </c>
      <c r="E54" s="31">
        <f t="shared" si="17"/>
        <v>0.3397617738247094</v>
      </c>
      <c r="F54" s="35">
        <f t="shared" si="18"/>
        <v>0.41708541045613057</v>
      </c>
      <c r="H54" s="31">
        <f t="shared" si="19"/>
        <v>34.153263954588333</v>
      </c>
      <c r="I54" s="31">
        <f t="shared" si="19"/>
        <v>51.556283641469683</v>
      </c>
      <c r="J54" s="31">
        <f t="shared" si="19"/>
        <v>53.989210675752396</v>
      </c>
      <c r="K54" s="31">
        <f t="shared" si="19"/>
        <v>55.190409026798307</v>
      </c>
      <c r="L54" s="31">
        <f t="shared" si="19"/>
        <v>56.662933930571036</v>
      </c>
    </row>
    <row r="55" spans="1:12">
      <c r="B55" s="31"/>
      <c r="C55" s="35"/>
      <c r="D55" s="31"/>
      <c r="E55" s="31"/>
      <c r="F55" s="35"/>
      <c r="H55" s="31"/>
      <c r="I55" s="31"/>
      <c r="J55" s="31"/>
      <c r="K55" s="31"/>
      <c r="L55" s="31"/>
    </row>
    <row r="56" spans="1:12" s="25" customFormat="1">
      <c r="A56" s="25" t="str">
        <f>A13</f>
        <v>Manufacturing</v>
      </c>
      <c r="B56" s="35">
        <f t="shared" ref="B56:E59" si="20">IF(AND(C$5-B$5 &lt;&gt; 0,B13&lt;&gt;0,C13&lt;&gt;0),(EXP(LN(C13/B13)/(C$5-B$5))-1)*100,0)</f>
        <v>0.22716285343247211</v>
      </c>
      <c r="C56" s="35">
        <f t="shared" si="20"/>
        <v>-7.8025546655118294</v>
      </c>
      <c r="D56" s="35">
        <f t="shared" si="20"/>
        <v>-0.43967326985788757</v>
      </c>
      <c r="E56" s="35">
        <f t="shared" si="20"/>
        <v>-0.93400042837517017</v>
      </c>
      <c r="F56" s="35">
        <f t="shared" si="18"/>
        <v>-0.76949802181702776</v>
      </c>
      <c r="H56" s="35">
        <f>(B13/B$40)*100</f>
        <v>13.580727981928991</v>
      </c>
      <c r="I56" s="35">
        <f>(C13/C$40)*100</f>
        <v>13.587132376733308</v>
      </c>
      <c r="J56" s="35">
        <f>(D13/D$40)*100</f>
        <v>12.873795330052362</v>
      </c>
      <c r="K56" s="35">
        <f>(E13/E$40)*100</f>
        <v>12.297491970527108</v>
      </c>
      <c r="L56" s="35">
        <f>(F13/F$40)*100</f>
        <v>10.899636742639061</v>
      </c>
    </row>
    <row r="57" spans="1:12">
      <c r="A57" t="str">
        <f>A14</f>
        <v>Food drink and tobacco</v>
      </c>
      <c r="B57" s="31">
        <f t="shared" si="20"/>
        <v>-2.479463338223431</v>
      </c>
      <c r="C57" s="35">
        <f t="shared" si="20"/>
        <v>-0.70955534531682574</v>
      </c>
      <c r="D57" s="31">
        <f t="shared" si="20"/>
        <v>0.12356277608251975</v>
      </c>
      <c r="E57" s="31">
        <f t="shared" si="20"/>
        <v>-0.23446601557616242</v>
      </c>
      <c r="F57" s="35">
        <f t="shared" si="18"/>
        <v>-0.11526556315363257</v>
      </c>
      <c r="H57" s="31">
        <f t="shared" ref="H57:L59" si="21">(B14/B$13)*100</f>
        <v>10.212790748481627</v>
      </c>
      <c r="I57" s="31">
        <f t="shared" si="21"/>
        <v>9.1534964277982311</v>
      </c>
      <c r="J57" s="31">
        <f t="shared" si="21"/>
        <v>9.8576997135208728</v>
      </c>
      <c r="K57" s="31">
        <f t="shared" si="21"/>
        <v>10.139709059484366</v>
      </c>
      <c r="L57" s="31">
        <f t="shared" si="21"/>
        <v>10.878889084197548</v>
      </c>
    </row>
    <row r="58" spans="1:12">
      <c r="A58" t="str">
        <f>A15</f>
        <v>Engineering</v>
      </c>
      <c r="B58" s="31">
        <f t="shared" si="20"/>
        <v>4.0790522821526842</v>
      </c>
      <c r="C58" s="35">
        <f t="shared" si="20"/>
        <v>-9.20778743724766</v>
      </c>
      <c r="D58" s="31">
        <f t="shared" si="20"/>
        <v>1.1930391085658298</v>
      </c>
      <c r="E58" s="31">
        <f t="shared" si="20"/>
        <v>-1.0343882860529341</v>
      </c>
      <c r="F58" s="35">
        <f t="shared" si="18"/>
        <v>-0.29741418690557575</v>
      </c>
      <c r="H58" s="31">
        <f t="shared" si="21"/>
        <v>10.137054137112431</v>
      </c>
      <c r="I58" s="31">
        <f t="shared" si="21"/>
        <v>11.787544201486625</v>
      </c>
      <c r="J58" s="31">
        <f t="shared" si="21"/>
        <v>11.607883655035263</v>
      </c>
      <c r="K58" s="31">
        <f t="shared" si="21"/>
        <v>12.591419015155161</v>
      </c>
      <c r="L58" s="31">
        <f t="shared" si="21"/>
        <v>12.464404992090007</v>
      </c>
    </row>
    <row r="59" spans="1:12">
      <c r="A59" t="str">
        <f>A16</f>
        <v>Rest of manufacturing</v>
      </c>
      <c r="B59" s="31">
        <f t="shared" si="20"/>
        <v>4.0661279454745625E-2</v>
      </c>
      <c r="C59" s="35">
        <f t="shared" si="20"/>
        <v>-8.4142690229295098</v>
      </c>
      <c r="D59" s="31">
        <f t="shared" si="20"/>
        <v>-0.76263523090425167</v>
      </c>
      <c r="E59" s="31">
        <f t="shared" si="20"/>
        <v>-1.0127671219584244</v>
      </c>
      <c r="F59" s="35">
        <f t="shared" si="18"/>
        <v>-0.92945995550866023</v>
      </c>
      <c r="H59" s="31">
        <f t="shared" si="21"/>
        <v>79.650155114405948</v>
      </c>
      <c r="I59" s="31">
        <f t="shared" si="21"/>
        <v>79.058959370715158</v>
      </c>
      <c r="J59" s="31">
        <f t="shared" si="21"/>
        <v>78.534416631443875</v>
      </c>
      <c r="K59" s="31">
        <f t="shared" si="21"/>
        <v>77.268871925360472</v>
      </c>
      <c r="L59" s="31">
        <f t="shared" si="21"/>
        <v>76.656705923712437</v>
      </c>
    </row>
    <row r="60" spans="1:12">
      <c r="B60" s="31"/>
      <c r="C60" s="35"/>
      <c r="D60" s="31"/>
      <c r="E60" s="31"/>
      <c r="F60" s="35"/>
      <c r="H60" s="31"/>
      <c r="I60" s="31"/>
      <c r="J60" s="31"/>
      <c r="K60" s="31"/>
      <c r="L60" s="31"/>
    </row>
    <row r="61" spans="1:12" s="25" customFormat="1">
      <c r="A61" s="25" t="str">
        <f>A18</f>
        <v>Construction</v>
      </c>
      <c r="B61" s="35">
        <f>IF(AND(C$5-B$5 &lt;&gt; 0,B18&lt;&gt;0,C18&lt;&gt;0),(EXP(LN(C18/B18)/(C$5-B$5))-1)*100,0)</f>
        <v>5.3160029551780674</v>
      </c>
      <c r="C61" s="35">
        <f>IF(AND(D$5-C$5 &lt;&gt; 0,C18&lt;&gt;0,D18&lt;&gt;0),(EXP(LN(D18/C18)/(D$5-C$5))-1)*100,0)</f>
        <v>-5.2719129878438746</v>
      </c>
      <c r="D61" s="35">
        <f>IF(AND(E$5-D$5 &lt;&gt; 0,D18&lt;&gt;0,E18&lt;&gt;0),(EXP(LN(E18/D18)/(E$5-D$5))-1)*100,0)</f>
        <v>-6.0047756904824112E-2</v>
      </c>
      <c r="E61" s="35">
        <f>IF(AND(F$5-E$5 &lt;&gt; 0,E18&lt;&gt;0,F18&lt;&gt;0),(EXP(LN(F18/E18)/(F$5-E$5))-1)*100,0)</f>
        <v>0.14697554040974392</v>
      </c>
      <c r="F61" s="35">
        <f t="shared" si="18"/>
        <v>7.7920169124223726E-2</v>
      </c>
      <c r="H61" s="35">
        <f>(B18/B$40)*100</f>
        <v>6.2827111214845992</v>
      </c>
      <c r="I61" s="35">
        <f>(C18/C$40)*100</f>
        <v>7.662801437841571</v>
      </c>
      <c r="J61" s="35">
        <f>(D18/D$40)*100</f>
        <v>7.4597838748553773</v>
      </c>
      <c r="K61" s="35">
        <f>(E18/E$40)*100</f>
        <v>7.2627369481705246</v>
      </c>
      <c r="L61" s="35">
        <f>(F18/F$40)*100</f>
        <v>7.1750992443633725</v>
      </c>
    </row>
    <row r="62" spans="1:12">
      <c r="B62" s="31"/>
      <c r="C62" s="35"/>
      <c r="D62" s="31"/>
      <c r="E62" s="31"/>
      <c r="F62" s="35"/>
      <c r="H62" s="31"/>
      <c r="I62" s="31"/>
      <c r="J62" s="31"/>
      <c r="K62" s="31"/>
      <c r="L62" s="31"/>
    </row>
    <row r="63" spans="1:12" s="25" customFormat="1">
      <c r="A63" s="25" t="str">
        <f>A20</f>
        <v>Trade, accomod. and transport</v>
      </c>
      <c r="B63" s="35">
        <f t="shared" ref="B63:E66" si="22">IF(AND(C$5-B$5 &lt;&gt; 0,B20&lt;&gt;0,C20&lt;&gt;0),(EXP(LN(C20/B20)/(C$5-B$5))-1)*100,0)</f>
        <v>-0.1224871041336506</v>
      </c>
      <c r="C63" s="35">
        <f t="shared" si="22"/>
        <v>-1.3523461569920348</v>
      </c>
      <c r="D63" s="35">
        <f t="shared" si="22"/>
        <v>0.7200495444993793</v>
      </c>
      <c r="E63" s="35">
        <f t="shared" si="22"/>
        <v>0.38947607086927682</v>
      </c>
      <c r="F63" s="35">
        <f t="shared" si="18"/>
        <v>0.49954649968431131</v>
      </c>
      <c r="H63" s="35">
        <f>(B20/B$40)*100</f>
        <v>29.161408491935681</v>
      </c>
      <c r="I63" s="35">
        <f>(C20/C$40)*100</f>
        <v>28.7701669441552</v>
      </c>
      <c r="J63" s="35">
        <f>(D20/D$40)*100</f>
        <v>29.166817817224739</v>
      </c>
      <c r="K63" s="35">
        <f>(E20/E$40)*100</f>
        <v>29.522088922476264</v>
      </c>
      <c r="L63" s="35">
        <f>(F20/F$40)*100</f>
        <v>29.879833851907456</v>
      </c>
    </row>
    <row r="64" spans="1:12">
      <c r="A64" t="str">
        <f>A21</f>
        <v>Wholesale and retail trade</v>
      </c>
      <c r="B64" s="31">
        <f t="shared" si="22"/>
        <v>-0.96594010595912883</v>
      </c>
      <c r="C64" s="35">
        <f t="shared" si="22"/>
        <v>-1.6779584462509267</v>
      </c>
      <c r="D64" s="31">
        <f t="shared" si="22"/>
        <v>0.1842202066080656</v>
      </c>
      <c r="E64" s="31">
        <f t="shared" si="22"/>
        <v>0.10915852189887776</v>
      </c>
      <c r="F64" s="35">
        <f t="shared" si="18"/>
        <v>0.13417283261338842</v>
      </c>
      <c r="H64" s="31">
        <f t="shared" ref="H64:L66" si="23">(B21/B$20)*100</f>
        <v>62.447686683081336</v>
      </c>
      <c r="I64" s="31">
        <f t="shared" si="23"/>
        <v>60.364806281866009</v>
      </c>
      <c r="J64" s="31">
        <f t="shared" si="23"/>
        <v>60.16555650755928</v>
      </c>
      <c r="K64" s="31">
        <f t="shared" si="23"/>
        <v>58.582094527031522</v>
      </c>
      <c r="L64" s="31">
        <f t="shared" si="23"/>
        <v>56.966708558824187</v>
      </c>
    </row>
    <row r="65" spans="1:12">
      <c r="A65" t="str">
        <f>A22</f>
        <v>Transport and storage</v>
      </c>
      <c r="B65" s="31">
        <f>IF(AND(C$5-B$5 &lt;&gt; 0,B22&lt;&gt;0,C22&lt;&gt;0),(EXP(LN(C22/B22)/(C$5-B$5))-1)*100,0)</f>
        <v>0.53077430073900089</v>
      </c>
      <c r="C65" s="35">
        <f t="shared" si="22"/>
        <v>-3.5847013724288557</v>
      </c>
      <c r="D65" s="31">
        <f t="shared" si="22"/>
        <v>1.7671907993296987</v>
      </c>
      <c r="E65" s="31">
        <f t="shared" si="22"/>
        <v>0.48877448295605586</v>
      </c>
      <c r="F65" s="35">
        <f t="shared" si="18"/>
        <v>0.91311881014868312</v>
      </c>
      <c r="H65" s="31">
        <f t="shared" si="23"/>
        <v>22.693635580516741</v>
      </c>
      <c r="I65" s="31">
        <f t="shared" si="23"/>
        <v>23.293208277667237</v>
      </c>
      <c r="J65" s="31">
        <f t="shared" si="23"/>
        <v>22.76609270058864</v>
      </c>
      <c r="K65" s="31">
        <f t="shared" si="23"/>
        <v>23.9744017065529</v>
      </c>
      <c r="L65" s="31">
        <f t="shared" si="23"/>
        <v>24.212598425196937</v>
      </c>
    </row>
    <row r="66" spans="1:12">
      <c r="A66" t="str">
        <f>A23</f>
        <v>Accommodation and food</v>
      </c>
      <c r="B66" s="31">
        <f t="shared" si="22"/>
        <v>2.2819226552231564</v>
      </c>
      <c r="C66" s="35">
        <f t="shared" si="22"/>
        <v>3.03232533889497</v>
      </c>
      <c r="D66" s="31">
        <f t="shared" si="22"/>
        <v>1.1589617761399662</v>
      </c>
      <c r="E66" s="31">
        <f t="shared" si="22"/>
        <v>1.1552380457874545</v>
      </c>
      <c r="F66" s="35">
        <f t="shared" si="18"/>
        <v>1.1564792740077046</v>
      </c>
      <c r="H66" s="31">
        <f t="shared" si="23"/>
        <v>14.858677736401917</v>
      </c>
      <c r="I66" s="31">
        <f t="shared" si="23"/>
        <v>16.341985440466747</v>
      </c>
      <c r="J66" s="31">
        <f t="shared" si="23"/>
        <v>17.068350791852076</v>
      </c>
      <c r="K66" s="31">
        <f t="shared" si="23"/>
        <v>17.443503766415578</v>
      </c>
      <c r="L66" s="31">
        <f t="shared" si="23"/>
        <v>18.820693015978883</v>
      </c>
    </row>
    <row r="67" spans="1:12">
      <c r="B67" s="31"/>
      <c r="C67" s="35"/>
      <c r="D67" s="31"/>
      <c r="E67" s="31"/>
      <c r="F67" s="35"/>
      <c r="H67" s="31"/>
      <c r="I67" s="31"/>
      <c r="J67" s="31"/>
      <c r="K67" s="31"/>
      <c r="L67" s="31"/>
    </row>
    <row r="68" spans="1:12" s="25" customFormat="1">
      <c r="A68" s="25" t="str">
        <f>A25</f>
        <v>Business and other services</v>
      </c>
      <c r="B68" s="35">
        <f t="shared" ref="B68:E71" si="24">IF(AND(C$5-B$5 &lt;&gt; 0,B25&lt;&gt;0,C25&lt;&gt;0),(EXP(LN(C25/B25)/(C$5-B$5))-1)*100,0)</f>
        <v>-2.0308832035628277</v>
      </c>
      <c r="C68" s="35">
        <f t="shared" si="24"/>
        <v>-1.9449431478157364</v>
      </c>
      <c r="D68" s="35">
        <f t="shared" si="24"/>
        <v>0.33379603338987707</v>
      </c>
      <c r="E68" s="35">
        <f t="shared" si="24"/>
        <v>0.40067738054005986</v>
      </c>
      <c r="F68" s="35">
        <f t="shared" si="18"/>
        <v>0.37837864603122995</v>
      </c>
      <c r="H68" s="35">
        <f>(B25/B$40)*100</f>
        <v>24.397996684877448</v>
      </c>
      <c r="I68" s="35">
        <f>(C25/C$40)*100</f>
        <v>22.283014760820603</v>
      </c>
      <c r="J68" s="35">
        <f>(D25/D$40)*100</f>
        <v>22.454523835435332</v>
      </c>
      <c r="K68" s="35">
        <f>(E25/E$40)*100</f>
        <v>22.295563322627366</v>
      </c>
      <c r="L68" s="35">
        <f>(F25/F$40)*100</f>
        <v>22.590929295096814</v>
      </c>
    </row>
    <row r="69" spans="1:12">
      <c r="A69" t="str">
        <f>A26</f>
        <v>Media</v>
      </c>
      <c r="B69" s="31">
        <f t="shared" si="24"/>
        <v>1.6702170268478422</v>
      </c>
      <c r="C69" s="35">
        <f t="shared" si="24"/>
        <v>15.616438356164464</v>
      </c>
      <c r="D69" s="31">
        <f t="shared" si="24"/>
        <v>-0.30517448932212421</v>
      </c>
      <c r="E69" s="31">
        <f t="shared" si="24"/>
        <v>0.1339348230253945</v>
      </c>
      <c r="F69" s="35">
        <f t="shared" si="18"/>
        <v>-1.2649425067379205E-2</v>
      </c>
      <c r="H69" s="31">
        <f t="shared" ref="H69:L71" si="25">(B26/B$25)*100</f>
        <v>1.3847114238692446</v>
      </c>
      <c r="I69" s="31">
        <f t="shared" si="25"/>
        <v>1.6061182103002754</v>
      </c>
      <c r="J69" s="31">
        <f t="shared" si="25"/>
        <v>1.8937694088926378</v>
      </c>
      <c r="K69" s="31">
        <f t="shared" si="25"/>
        <v>1.8342307352811393</v>
      </c>
      <c r="L69" s="31">
        <f t="shared" si="25"/>
        <v>1.7860777529004639</v>
      </c>
    </row>
    <row r="70" spans="1:12">
      <c r="A70" t="str">
        <f>A27</f>
        <v>Information technology</v>
      </c>
      <c r="B70" s="31">
        <f t="shared" si="24"/>
        <v>-0.55523428649665307</v>
      </c>
      <c r="C70" s="35">
        <f t="shared" si="24"/>
        <v>7.4913981857987144</v>
      </c>
      <c r="D70" s="31">
        <f t="shared" si="24"/>
        <v>0.79336387547530585</v>
      </c>
      <c r="E70" s="31">
        <f t="shared" si="24"/>
        <v>0.33069939042573715</v>
      </c>
      <c r="F70" s="35">
        <f t="shared" si="18"/>
        <v>0.48468443215556878</v>
      </c>
      <c r="H70" s="31">
        <f t="shared" si="25"/>
        <v>5.300493729073283</v>
      </c>
      <c r="I70" s="31">
        <f t="shared" si="25"/>
        <v>5.6271341570739715</v>
      </c>
      <c r="J70" s="31">
        <f t="shared" si="25"/>
        <v>6.1686621551275262</v>
      </c>
      <c r="K70" s="31">
        <f t="shared" si="25"/>
        <v>6.3112366493070589</v>
      </c>
      <c r="L70" s="31">
        <f t="shared" si="25"/>
        <v>6.2673858470723873</v>
      </c>
    </row>
    <row r="71" spans="1:12">
      <c r="A71" t="str">
        <f>A28</f>
        <v>Finance and insurance</v>
      </c>
      <c r="B71" s="31">
        <f t="shared" si="24"/>
        <v>0.15863961906084079</v>
      </c>
      <c r="C71" s="35">
        <f t="shared" si="24"/>
        <v>1.526643329443611</v>
      </c>
      <c r="D71" s="31">
        <f t="shared" si="24"/>
        <v>2.4889436561514877E-2</v>
      </c>
      <c r="E71" s="31">
        <f t="shared" si="24"/>
        <v>-0.38938108837730523</v>
      </c>
      <c r="F71" s="35">
        <f t="shared" si="18"/>
        <v>-0.25148190668479176</v>
      </c>
      <c r="H71" s="31">
        <f t="shared" si="25"/>
        <v>8.2847576349647838</v>
      </c>
      <c r="I71" s="31">
        <f t="shared" si="25"/>
        <v>9.0505861231386824</v>
      </c>
      <c r="J71" s="31">
        <f t="shared" si="25"/>
        <v>9.3710172503545301</v>
      </c>
      <c r="K71" s="31">
        <f t="shared" si="25"/>
        <v>9.2276458645952779</v>
      </c>
      <c r="L71" s="31">
        <f t="shared" si="25"/>
        <v>8.5266978763823893</v>
      </c>
    </row>
    <row r="72" spans="1:12">
      <c r="A72" t="str">
        <f t="shared" ref="A72:A76" si="26">A29</f>
        <v>Real estate</v>
      </c>
      <c r="B72" s="31">
        <f t="shared" ref="B72:E72" si="27">IF(AND(C$5-B$5 &lt;&gt; 0,B29&lt;&gt;0,C29&lt;&gt;0),(EXP(LN(C29/B29)/(C$5-B$5))-1)*100,0)</f>
        <v>7.1627252564684163</v>
      </c>
      <c r="C72" s="35">
        <f t="shared" si="27"/>
        <v>0.54000981836039852</v>
      </c>
      <c r="D72" s="31">
        <f t="shared" si="27"/>
        <v>0.13246111591624921</v>
      </c>
      <c r="E72" s="31">
        <f t="shared" si="27"/>
        <v>0.86754756855971227</v>
      </c>
      <c r="F72" s="35">
        <f t="shared" si="18"/>
        <v>0.62192110201610973</v>
      </c>
      <c r="H72" s="31">
        <f t="shared" ref="H72:L72" si="28">(B29/B$25)*100</f>
        <v>6.2611980834556116</v>
      </c>
      <c r="I72" s="31">
        <f t="shared" si="28"/>
        <v>8.9634597106347034</v>
      </c>
      <c r="J72" s="31">
        <f t="shared" si="28"/>
        <v>9.1906155199339548</v>
      </c>
      <c r="K72" s="31">
        <f t="shared" si="28"/>
        <v>9.0987730602877335</v>
      </c>
      <c r="L72" s="31">
        <f t="shared" si="28"/>
        <v>9.5308365560757231</v>
      </c>
    </row>
    <row r="73" spans="1:12">
      <c r="A73" t="str">
        <f t="shared" si="26"/>
        <v>Professional services</v>
      </c>
      <c r="B73" s="31">
        <f t="shared" ref="B73:E73" si="29">IF(AND(C$5-B$5 &lt;&gt; 0,B30&lt;&gt;0,C30&lt;&gt;0),(EXP(LN(C30/B30)/(C$5-B$5))-1)*100,0)</f>
        <v>-3.5003994953859308</v>
      </c>
      <c r="C73" s="35">
        <f t="shared" si="29"/>
        <v>-0.26216020004852236</v>
      </c>
      <c r="D73" s="31">
        <f t="shared" si="29"/>
        <v>0.66007855389249581</v>
      </c>
      <c r="E73" s="31">
        <f t="shared" si="29"/>
        <v>0.51124147170613643</v>
      </c>
      <c r="F73" s="35">
        <f t="shared" si="18"/>
        <v>0.56082936389392213</v>
      </c>
      <c r="H73" s="31">
        <f t="shared" ref="H73:L73" si="30">(B30/B$25)*100</f>
        <v>23.180134093249087</v>
      </c>
      <c r="I73" s="31">
        <f t="shared" si="30"/>
        <v>21.82032597599181</v>
      </c>
      <c r="J73" s="31">
        <f t="shared" si="30"/>
        <v>22.194797968012313</v>
      </c>
      <c r="K73" s="31">
        <f t="shared" si="30"/>
        <v>22.558036896460408</v>
      </c>
      <c r="L73" s="31">
        <f t="shared" si="30"/>
        <v>22.807687088676371</v>
      </c>
    </row>
    <row r="74" spans="1:12">
      <c r="A74" t="str">
        <f t="shared" si="26"/>
        <v>Support services</v>
      </c>
      <c r="B74" s="31">
        <f t="shared" ref="B74:E74" si="31">IF(AND(C$5-B$5 &lt;&gt; 0,B31&lt;&gt;0,C31&lt;&gt;0),(EXP(LN(C31/B31)/(C$5-B$5))-1)*100,0)</f>
        <v>-3.9190375559401081</v>
      </c>
      <c r="C74" s="35">
        <f t="shared" si="31"/>
        <v>-6.1993351606695395</v>
      </c>
      <c r="D74" s="31">
        <f t="shared" si="31"/>
        <v>1.0275338288977531</v>
      </c>
      <c r="E74" s="31">
        <f t="shared" si="31"/>
        <v>0.52726201894126579</v>
      </c>
      <c r="F74" s="35">
        <f t="shared" si="18"/>
        <v>0.69374342982506665</v>
      </c>
      <c r="H74" s="31">
        <f>(B31/B$25)*100</f>
        <v>32.624222721266058</v>
      </c>
      <c r="I74" s="31">
        <f t="shared" ref="I74:L74" si="32">(C31/C$25)*100</f>
        <v>30.180941317280958</v>
      </c>
      <c r="J74" s="31">
        <f t="shared" si="32"/>
        <v>28.871457035667497</v>
      </c>
      <c r="K74" s="31">
        <f t="shared" si="32"/>
        <v>29.883484861859007</v>
      </c>
      <c r="L74" s="31">
        <f t="shared" si="32"/>
        <v>30.262399077277934</v>
      </c>
    </row>
    <row r="75" spans="1:12">
      <c r="A75" t="str">
        <f t="shared" si="26"/>
        <v>Arts and entertainment</v>
      </c>
      <c r="B75" s="31">
        <f t="shared" ref="B75:E75" si="33">IF(AND(C$5-B$5 &lt;&gt; 0,B32&lt;&gt;0,C32&lt;&gt;0),(EXP(LN(C32/B32)/(C$5-B$5))-1)*100,0)</f>
        <v>0.55823872213778269</v>
      </c>
      <c r="C75" s="35">
        <f t="shared" si="33"/>
        <v>-2.1364009860312394</v>
      </c>
      <c r="D75" s="31">
        <f t="shared" si="33"/>
        <v>-1.0722890125523299</v>
      </c>
      <c r="E75" s="31">
        <f t="shared" si="33"/>
        <v>0.57673557890083327</v>
      </c>
      <c r="F75" s="35">
        <f t="shared" si="18"/>
        <v>2.4028950014032269E-2</v>
      </c>
      <c r="H75" s="31">
        <f t="shared" ref="H75:L75" si="34">(B32/B$25)*100</f>
        <v>9.6492010344799635</v>
      </c>
      <c r="I75" s="31">
        <f t="shared" si="34"/>
        <v>10.710388284577748</v>
      </c>
      <c r="J75" s="31">
        <f t="shared" si="34"/>
        <v>10.689475668204427</v>
      </c>
      <c r="K75" s="31">
        <f t="shared" si="34"/>
        <v>9.9611616206196292</v>
      </c>
      <c r="L75" s="31">
        <f t="shared" si="34"/>
        <v>10.137220978356734</v>
      </c>
    </row>
    <row r="76" spans="1:12">
      <c r="A76" t="str">
        <f t="shared" si="26"/>
        <v>Other services</v>
      </c>
      <c r="B76" s="31">
        <f t="shared" ref="B76:E76" si="35">IF(AND(C$5-B$5 &lt;&gt; 0,B33&lt;&gt;0,C33&lt;&gt;0),(EXP(LN(C33/B33)/(C$5-B$5))-1)*100,0)</f>
        <v>-4.4638661215836484</v>
      </c>
      <c r="C76" s="35">
        <f t="shared" si="35"/>
        <v>-5.3720216342639908</v>
      </c>
      <c r="D76" s="31">
        <f t="shared" si="35"/>
        <v>-0.53555828922634552</v>
      </c>
      <c r="E76" s="31">
        <f t="shared" si="35"/>
        <v>-7.1428857883581998E-3</v>
      </c>
      <c r="F76" s="35">
        <f t="shared" si="18"/>
        <v>-0.18359253748903015</v>
      </c>
      <c r="H76" s="31">
        <f t="shared" ref="H76:L76" si="36">(B33/B$25)*100</f>
        <v>13.315281279641972</v>
      </c>
      <c r="I76" s="31">
        <f t="shared" si="36"/>
        <v>12.041046221001862</v>
      </c>
      <c r="J76" s="31">
        <f t="shared" si="36"/>
        <v>11.620204993807109</v>
      </c>
      <c r="K76" s="31">
        <f t="shared" si="36"/>
        <v>11.125430311589739</v>
      </c>
      <c r="L76" s="31">
        <f t="shared" si="36"/>
        <v>10.681694823257995</v>
      </c>
    </row>
    <row r="77" spans="1:12">
      <c r="B77" s="31"/>
      <c r="C77" s="35"/>
      <c r="D77" s="31"/>
      <c r="E77" s="31"/>
      <c r="F77" s="35">
        <f t="shared" si="18"/>
        <v>0</v>
      </c>
      <c r="H77" s="31"/>
      <c r="I77" s="31"/>
      <c r="J77" s="31"/>
      <c r="K77" s="31"/>
      <c r="L77" s="31"/>
    </row>
    <row r="78" spans="1:12" s="25" customFormat="1">
      <c r="A78" s="25" t="str">
        <f>A35</f>
        <v>Non-marketed services</v>
      </c>
      <c r="B78" s="35">
        <f t="shared" ref="B78:E79" si="37">IF(AND(C$5-B$5 &lt;&gt; 0,B35&lt;&gt;0,C35&lt;&gt;0),(EXP(LN(C35/B35)/(C$5-B$5))-1)*100,0)</f>
        <v>2.1889484105768631</v>
      </c>
      <c r="C78" s="35">
        <f t="shared" ref="C78:C83" si="38">IF(AND(D$5-C$5 &lt;&gt; 0,C35&lt;&gt;0,D35&lt;&gt;0),(EXP(LN(D35/C35)/(D$5-C$5))-1)*100,0)</f>
        <v>-0.4333441355349188</v>
      </c>
      <c r="D78" s="35">
        <f t="shared" si="37"/>
        <v>0.92626019532746628</v>
      </c>
      <c r="E78" s="35">
        <f t="shared" si="37"/>
        <v>0.58056071780008267</v>
      </c>
      <c r="F78" s="35">
        <f t="shared" si="18"/>
        <v>0.69566210813678531</v>
      </c>
      <c r="H78" s="35">
        <f>(B35/B$40)*100</f>
        <v>24.06826462431912</v>
      </c>
      <c r="I78" s="35">
        <f>(C35/C$40)*100</f>
        <v>26.020971464766806</v>
      </c>
      <c r="J78" s="35">
        <f>(D35/D$40)*100</f>
        <v>26.625473101246694</v>
      </c>
      <c r="K78" s="35">
        <f>(E35/E$40)*100</f>
        <v>27.226801120977377</v>
      </c>
      <c r="L78" s="35">
        <f>(F35/F$40)*100</f>
        <v>28.085771653664015</v>
      </c>
    </row>
    <row r="79" spans="1:12">
      <c r="A79" t="str">
        <f>A36</f>
        <v>Public admin. and defence</v>
      </c>
      <c r="B79" s="31">
        <f t="shared" si="37"/>
        <v>-0.86891133297999357</v>
      </c>
      <c r="C79" s="35">
        <f t="shared" si="38"/>
        <v>-1.1194512747510599</v>
      </c>
      <c r="D79" s="31">
        <f t="shared" si="37"/>
        <v>0.35478013312981727</v>
      </c>
      <c r="E79" s="31">
        <f t="shared" si="37"/>
        <v>0.423247395630999</v>
      </c>
      <c r="F79" s="35">
        <f t="shared" si="18"/>
        <v>0.40041978615537044</v>
      </c>
      <c r="H79" s="31">
        <f>(B36/B$35)*100</f>
        <v>13.151709401709354</v>
      </c>
      <c r="I79" s="31">
        <f t="shared" ref="I79:L81" si="39">(C36/C$35)*100</f>
        <v>11.64678307923039</v>
      </c>
      <c r="J79" s="31">
        <f t="shared" si="39"/>
        <v>11.566525879164946</v>
      </c>
      <c r="K79" s="31">
        <f t="shared" si="39"/>
        <v>11.242744692693</v>
      </c>
      <c r="L79" s="31">
        <f t="shared" si="39"/>
        <v>11.068134686749596</v>
      </c>
    </row>
    <row r="80" spans="1:12">
      <c r="A80" t="str">
        <f>A37</f>
        <v>Education</v>
      </c>
      <c r="B80" s="31">
        <f t="shared" ref="B80:E81" si="40">IF(AND(C$5-B$5 &lt;&gt; 0,B37&lt;&gt;0,C37&lt;&gt;0),(EXP(LN(C37/B37)/(C$5-B$5))-1)*100,0)</f>
        <v>-0.22672391936791048</v>
      </c>
      <c r="C80" s="35">
        <f t="shared" si="38"/>
        <v>1.4818151109109001</v>
      </c>
      <c r="D80" s="31">
        <f t="shared" si="40"/>
        <v>0.53352169493241508</v>
      </c>
      <c r="E80" s="31">
        <f t="shared" si="40"/>
        <v>0.60678313736965972</v>
      </c>
      <c r="F80" s="35">
        <f t="shared" si="18"/>
        <v>0.58235672652706683</v>
      </c>
      <c r="H80" s="31">
        <f>(B37/B$35)*100</f>
        <v>36.826101249178201</v>
      </c>
      <c r="I80" s="31">
        <f t="shared" si="39"/>
        <v>33.465471892922594</v>
      </c>
      <c r="J80" s="31">
        <f t="shared" si="39"/>
        <v>34.109178436804591</v>
      </c>
      <c r="K80" s="31">
        <f t="shared" si="39"/>
        <v>33.450671138513997</v>
      </c>
      <c r="L80" s="31">
        <f t="shared" si="39"/>
        <v>33.537982973149944</v>
      </c>
    </row>
    <row r="81" spans="1:12">
      <c r="A81" t="str">
        <f>A38</f>
        <v>Health and social work</v>
      </c>
      <c r="B81" s="31">
        <f>IF(AND(C$5-B$5 &lt;&gt; 0,B38&lt;&gt;0,C38&lt;&gt;0),(EXP(LN(C38/B38)/(C$5-B$5))-1)*100,0)</f>
        <v>4.5880590155708223</v>
      </c>
      <c r="C81" s="35">
        <f t="shared" si="38"/>
        <v>-1.4554441850884059</v>
      </c>
      <c r="D81" s="31">
        <f t="shared" si="40"/>
        <v>1.2886370519012535</v>
      </c>
      <c r="E81" s="31">
        <f t="shared" si="40"/>
        <v>0.59642549882938933</v>
      </c>
      <c r="F81" s="35">
        <f t="shared" si="18"/>
        <v>0.82663545718058007</v>
      </c>
      <c r="H81" s="31">
        <f>(B38/B$35)*100</f>
        <v>50.022189349112431</v>
      </c>
      <c r="I81" s="31">
        <f t="shared" si="39"/>
        <v>54.887745027847025</v>
      </c>
      <c r="J81" s="31">
        <f t="shared" si="39"/>
        <v>54.324295684030467</v>
      </c>
      <c r="K81" s="31">
        <f t="shared" si="39"/>
        <v>55.306584168793002</v>
      </c>
      <c r="L81" s="31">
        <f t="shared" si="39"/>
        <v>55.393882340100475</v>
      </c>
    </row>
    <row r="82" spans="1:12">
      <c r="B82" s="31"/>
      <c r="C82" s="35"/>
      <c r="D82" s="31"/>
      <c r="E82" s="31"/>
      <c r="F82" s="35"/>
      <c r="H82" s="31"/>
      <c r="I82" s="31"/>
      <c r="J82" s="31"/>
      <c r="K82" s="31"/>
      <c r="L82" s="31"/>
    </row>
    <row r="83" spans="1:12">
      <c r="A83" s="22" t="str">
        <f>A40</f>
        <v>All industries</v>
      </c>
      <c r="B83" s="34">
        <f>IF(AND(C$5-B$5 &lt;&gt; 0,B40&lt;&gt;0,C40&lt;&gt;0),(EXP(LN(C40/B40)/(C$5-B$5))-1)*100,0)</f>
        <v>0.21535006256829803</v>
      </c>
      <c r="C83" s="183">
        <f t="shared" si="38"/>
        <v>-2.6938938797601564</v>
      </c>
      <c r="D83" s="34">
        <f>IF(AND(E$5-D$5 &lt;&gt; 0,D40&lt;&gt;0,E40&lt;&gt;0),(EXP(LN(E40/D40)/(E$5-D$5))-1)*100,0)</f>
        <v>0.47645957720001686</v>
      </c>
      <c r="E83" s="34">
        <f>IF(AND(F$5-E$5 &lt;&gt; 0,E40&lt;&gt;0,F40&lt;&gt;0),(EXP(LN(F40/E40)/(F$5-E$5))-1)*100,0)</f>
        <v>0.26862934467042354</v>
      </c>
      <c r="F83" s="183">
        <f t="shared" si="18"/>
        <v>0.33785827979149197</v>
      </c>
      <c r="G83" s="22"/>
      <c r="H83" s="34">
        <f>(B40/B$40)*100</f>
        <v>100</v>
      </c>
      <c r="I83" s="34">
        <f>(C40/C$40)*100</f>
        <v>100</v>
      </c>
      <c r="J83" s="34">
        <f>(D40/D$40)*100</f>
        <v>100</v>
      </c>
      <c r="K83" s="34">
        <f>(E40/E$40)*100</f>
        <v>100</v>
      </c>
      <c r="L83" s="34">
        <f>(F40/F$40)*100</f>
        <v>100</v>
      </c>
    </row>
    <row r="86" spans="1:12">
      <c r="A86" s="29"/>
      <c r="B86" s="24" t="s">
        <v>123</v>
      </c>
      <c r="C86" s="24"/>
    </row>
    <row r="87" spans="1:12">
      <c r="A87" s="22"/>
      <c r="B87" s="30" t="str">
        <f>B5&amp;"-"&amp;D5</f>
        <v>2015-2020</v>
      </c>
      <c r="C87" s="30" t="str">
        <f>F48</f>
        <v>2020-2035</v>
      </c>
    </row>
    <row r="89" spans="1:12">
      <c r="A89" s="25" t="str">
        <f>A7</f>
        <v>Primary sector and utilities</v>
      </c>
      <c r="B89" s="35">
        <f>IF(AND(D$5-B$5 &lt;&gt; 0,B7&lt;&gt;0,D7&lt;&gt;0),(EXP(LN(D7/B7)/(D$5-B$5))-1)*100,0)</f>
        <v>-11.097776560099105</v>
      </c>
      <c r="C89" s="35">
        <f>IF(AND(F$5-D$5 &lt;&gt; 0,D7&lt;&gt;0,F7&lt;&gt;0),(EXP(LN(F7/D7)/(F$5-D$5))-1)*100,0)</f>
        <v>9.4021859132298324E-2</v>
      </c>
    </row>
    <row r="90" spans="1:12">
      <c r="A90" s="25" t="str">
        <f t="shared" ref="A90:A122" si="41">A8</f>
        <v>Agriculture</v>
      </c>
      <c r="B90" s="35">
        <f t="shared" ref="B90:B122" si="42">IF(AND(D$5-B$5 &lt;&gt; 0,B8&lt;&gt;0,D8&lt;&gt;0),(EXP(LN(D8/B8)/(D$5-B$5))-1)*100,0)</f>
        <v>-17.766261616063073</v>
      </c>
      <c r="C90" s="35">
        <f t="shared" ref="C90:C122" si="43">IF(AND(F$5-D$5 &lt;&gt; 0,D8&lt;&gt;0,F8&lt;&gt;0),(EXP(LN(F8/D8)/(F$5-D$5))-1)*100,0)</f>
        <v>0.5742402872390695</v>
      </c>
    </row>
    <row r="91" spans="1:12">
      <c r="A91" s="25" t="str">
        <f t="shared" si="41"/>
        <v>Mining and quarrying</v>
      </c>
      <c r="B91" s="35">
        <f t="shared" si="42"/>
        <v>-0.87953363884922808</v>
      </c>
      <c r="C91" s="35">
        <f t="shared" si="43"/>
        <v>-5.8253698205932185</v>
      </c>
    </row>
    <row r="92" spans="1:12">
      <c r="A92" s="25" t="str">
        <f t="shared" si="41"/>
        <v>Electricity and gas</v>
      </c>
      <c r="B92" s="35">
        <f t="shared" si="42"/>
        <v>-17.715115116248835</v>
      </c>
      <c r="C92" s="35">
        <f t="shared" si="43"/>
        <v>-0.53724519762726741</v>
      </c>
    </row>
    <row r="93" spans="1:12">
      <c r="A93" s="25" t="str">
        <f t="shared" si="41"/>
        <v>Water and sewerage</v>
      </c>
      <c r="B93" s="35">
        <f t="shared" si="42"/>
        <v>-2.571150201875505</v>
      </c>
      <c r="C93" s="35">
        <f t="shared" si="43"/>
        <v>0.41708541045613057</v>
      </c>
    </row>
    <row r="94" spans="1:12">
      <c r="A94" s="25"/>
      <c r="B94" s="35"/>
      <c r="C94" s="35"/>
    </row>
    <row r="95" spans="1:12">
      <c r="A95" s="25" t="str">
        <f t="shared" si="41"/>
        <v>Manufacturing</v>
      </c>
      <c r="B95" s="35">
        <f t="shared" si="42"/>
        <v>-1.4328664326009655</v>
      </c>
      <c r="C95" s="35">
        <f t="shared" si="43"/>
        <v>-0.76949802181702776</v>
      </c>
    </row>
    <row r="96" spans="1:12">
      <c r="A96" s="25" t="str">
        <f t="shared" si="41"/>
        <v>Food drink and tobacco</v>
      </c>
      <c r="B96" s="35">
        <f t="shared" si="42"/>
        <v>-2.1280238829763709</v>
      </c>
      <c r="C96" s="35">
        <f t="shared" si="43"/>
        <v>-0.11526556315363257</v>
      </c>
    </row>
    <row r="97" spans="1:3">
      <c r="A97" s="25" t="str">
        <f t="shared" si="41"/>
        <v>Engineering</v>
      </c>
      <c r="B97" s="35">
        <f t="shared" si="42"/>
        <v>1.2745642296062787</v>
      </c>
      <c r="C97" s="35">
        <f t="shared" si="43"/>
        <v>-0.29741418690557575</v>
      </c>
    </row>
    <row r="98" spans="1:3">
      <c r="A98" s="25" t="str">
        <f t="shared" si="41"/>
        <v>Rest of manufacturing</v>
      </c>
      <c r="B98" s="35">
        <f t="shared" si="42"/>
        <v>-1.7105723243751147</v>
      </c>
      <c r="C98" s="35">
        <f t="shared" si="43"/>
        <v>-0.92945995550866023</v>
      </c>
    </row>
    <row r="99" spans="1:3">
      <c r="A99" s="25"/>
      <c r="B99" s="35"/>
      <c r="C99" s="35"/>
    </row>
    <row r="100" spans="1:3">
      <c r="A100" s="25" t="str">
        <f t="shared" si="41"/>
        <v>Construction</v>
      </c>
      <c r="B100" s="35">
        <f t="shared" si="42"/>
        <v>3.1077352720810802</v>
      </c>
      <c r="C100" s="35">
        <f t="shared" si="43"/>
        <v>7.7920169124223726E-2</v>
      </c>
    </row>
    <row r="101" spans="1:3">
      <c r="A101" s="25"/>
      <c r="B101" s="35"/>
      <c r="C101" s="35"/>
    </row>
    <row r="102" spans="1:3">
      <c r="A102" s="25" t="str">
        <f t="shared" si="41"/>
        <v>Trade, accomod. and transport</v>
      </c>
      <c r="B102" s="35">
        <f t="shared" si="42"/>
        <v>-0.36967947018967662</v>
      </c>
      <c r="C102" s="35">
        <f t="shared" si="43"/>
        <v>0.49954649968431131</v>
      </c>
    </row>
    <row r="103" spans="1:3">
      <c r="A103" s="25" t="str">
        <f t="shared" si="41"/>
        <v>Wholesale and retail trade</v>
      </c>
      <c r="B103" s="35">
        <f t="shared" si="42"/>
        <v>-1.1087550815140457</v>
      </c>
      <c r="C103" s="35">
        <f t="shared" si="43"/>
        <v>0.13417283261338842</v>
      </c>
    </row>
    <row r="104" spans="1:3">
      <c r="A104" s="25" t="str">
        <f t="shared" si="41"/>
        <v>Transport and storage</v>
      </c>
      <c r="B104" s="35">
        <f t="shared" si="42"/>
        <v>-0.30613985664941223</v>
      </c>
      <c r="C104" s="35">
        <f t="shared" si="43"/>
        <v>0.91311881014868312</v>
      </c>
    </row>
    <row r="105" spans="1:3">
      <c r="A105" s="25" t="str">
        <f t="shared" si="41"/>
        <v>Accommodation and food</v>
      </c>
      <c r="B105" s="35">
        <f t="shared" si="42"/>
        <v>2.4315646878178221</v>
      </c>
      <c r="C105" s="35">
        <f t="shared" si="43"/>
        <v>1.1564792740077046</v>
      </c>
    </row>
    <row r="106" spans="1:3">
      <c r="A106" s="25"/>
      <c r="B106" s="35"/>
      <c r="C106" s="35"/>
    </row>
    <row r="107" spans="1:3">
      <c r="A107" s="25" t="str">
        <f t="shared" si="41"/>
        <v>Business and other services</v>
      </c>
      <c r="B107" s="35">
        <f t="shared" si="42"/>
        <v>-2.0137012202789295</v>
      </c>
      <c r="C107" s="35">
        <f t="shared" si="43"/>
        <v>0.37837864603122995</v>
      </c>
    </row>
    <row r="108" spans="1:3">
      <c r="A108" s="25" t="str">
        <f t="shared" si="41"/>
        <v>Media</v>
      </c>
      <c r="B108" s="35">
        <f t="shared" si="42"/>
        <v>4.317919695720529</v>
      </c>
      <c r="C108" s="35">
        <f t="shared" si="43"/>
        <v>-1.2649425067379205E-2</v>
      </c>
    </row>
    <row r="109" spans="1:3">
      <c r="A109" s="25" t="str">
        <f t="shared" si="41"/>
        <v>Information technology</v>
      </c>
      <c r="B109" s="35">
        <f t="shared" si="42"/>
        <v>1.004398233108228</v>
      </c>
      <c r="C109" s="35">
        <f t="shared" si="43"/>
        <v>0.48468443215556878</v>
      </c>
    </row>
    <row r="110" spans="1:3">
      <c r="A110" s="25" t="str">
        <f t="shared" si="41"/>
        <v>Finance and insurance</v>
      </c>
      <c r="B110" s="35">
        <f t="shared" si="42"/>
        <v>0.43075771892968628</v>
      </c>
      <c r="C110" s="35">
        <f t="shared" si="43"/>
        <v>-0.25148190668479176</v>
      </c>
    </row>
    <row r="111" spans="1:3">
      <c r="A111" s="25" t="str">
        <f t="shared" si="41"/>
        <v>Real estate</v>
      </c>
      <c r="B111" s="35">
        <f t="shared" si="42"/>
        <v>5.8041699319459683</v>
      </c>
      <c r="C111" s="35">
        <f t="shared" si="43"/>
        <v>0.62192110201610973</v>
      </c>
    </row>
    <row r="112" spans="1:3">
      <c r="A112" s="25" t="str">
        <f t="shared" si="41"/>
        <v>Professional services</v>
      </c>
      <c r="B112" s="35">
        <f t="shared" si="42"/>
        <v>-2.8612738674501315</v>
      </c>
      <c r="C112" s="35">
        <f t="shared" si="43"/>
        <v>0.56082936389392213</v>
      </c>
    </row>
    <row r="113" spans="1:3">
      <c r="A113" s="25" t="str">
        <f t="shared" si="41"/>
        <v>Support services</v>
      </c>
      <c r="B113" s="35">
        <f t="shared" si="42"/>
        <v>-4.3794892507492804</v>
      </c>
      <c r="C113" s="35">
        <f t="shared" si="43"/>
        <v>0.69374342982506665</v>
      </c>
    </row>
    <row r="114" spans="1:3">
      <c r="A114" s="25" t="str">
        <f t="shared" si="41"/>
        <v>Arts and entertainment</v>
      </c>
      <c r="B114" s="35">
        <f t="shared" si="42"/>
        <v>1.3439505911660987E-2</v>
      </c>
      <c r="C114" s="35">
        <f t="shared" si="43"/>
        <v>2.4028950014032269E-2</v>
      </c>
    </row>
    <row r="115" spans="1:3">
      <c r="A115" s="25" t="str">
        <f t="shared" si="41"/>
        <v>Other services</v>
      </c>
      <c r="B115" s="35">
        <f t="shared" si="42"/>
        <v>-4.6461918152839843</v>
      </c>
      <c r="C115" s="35">
        <f t="shared" si="43"/>
        <v>-0.18359253748903015</v>
      </c>
    </row>
    <row r="116" spans="1:3">
      <c r="A116" s="25"/>
      <c r="B116" s="35"/>
      <c r="C116" s="35"/>
    </row>
    <row r="117" spans="1:3">
      <c r="A117" s="25" t="str">
        <f t="shared" si="41"/>
        <v>Non-marketed services</v>
      </c>
      <c r="B117" s="35">
        <f t="shared" si="42"/>
        <v>1.659022200727156</v>
      </c>
      <c r="C117" s="35">
        <f t="shared" si="43"/>
        <v>0.69566210813678531</v>
      </c>
    </row>
    <row r="118" spans="1:3">
      <c r="A118" s="25" t="str">
        <f t="shared" si="41"/>
        <v>Public admin. and defence</v>
      </c>
      <c r="B118" s="35">
        <f t="shared" si="42"/>
        <v>-0.91907005465536873</v>
      </c>
      <c r="C118" s="35">
        <f t="shared" si="43"/>
        <v>0.40041978615537044</v>
      </c>
    </row>
    <row r="119" spans="1:3">
      <c r="A119" s="25" t="str">
        <f t="shared" si="41"/>
        <v>Education</v>
      </c>
      <c r="B119" s="35">
        <f t="shared" si="42"/>
        <v>0.11266705941843647</v>
      </c>
      <c r="C119" s="35">
        <f t="shared" si="43"/>
        <v>0.58235672652706683</v>
      </c>
    </row>
    <row r="120" spans="1:3">
      <c r="A120" s="25" t="str">
        <f t="shared" si="41"/>
        <v>Health and social work</v>
      </c>
      <c r="B120" s="35">
        <f t="shared" si="42"/>
        <v>3.3504114333352319</v>
      </c>
      <c r="C120" s="35">
        <f t="shared" si="43"/>
        <v>0.82663545718058007</v>
      </c>
    </row>
    <row r="121" spans="1:3">
      <c r="A121" s="25"/>
      <c r="B121" s="35"/>
      <c r="C121" s="35"/>
    </row>
    <row r="122" spans="1:3">
      <c r="A122" s="318" t="str">
        <f t="shared" si="41"/>
        <v>All industries</v>
      </c>
      <c r="B122" s="183">
        <f t="shared" si="42"/>
        <v>-0.37337526450474945</v>
      </c>
      <c r="C122" s="183">
        <f t="shared" si="43"/>
        <v>0.33785827979149197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/>
  <cols>
    <col min="1" max="1" width="22.140625" style="258" customWidth="1"/>
    <col min="2" max="2" width="9.140625" style="259"/>
    <col min="3" max="3" width="9.28515625" style="258" customWidth="1"/>
    <col min="4" max="4" width="9.140625" style="259"/>
    <col min="5" max="5" width="9.28515625" style="258" customWidth="1"/>
    <col min="6" max="6" width="9.140625" style="259"/>
    <col min="7" max="7" width="9.28515625" style="258" customWidth="1"/>
    <col min="8" max="8" width="9.140625" style="259"/>
    <col min="9" max="9" width="9.28515625" style="258" customWidth="1"/>
    <col min="10" max="10" width="5.5703125" style="258" customWidth="1"/>
    <col min="11" max="14" width="9.28515625" style="259" customWidth="1"/>
    <col min="15" max="16384" width="9.140625" style="258"/>
  </cols>
  <sheetData>
    <row r="1" spans="1:17" ht="15.75">
      <c r="A1" s="18" t="str">
        <f>CONCATENATE("Industry Table 5  Employment status by Industry (SIC 2007) and Gender, ",A$8,"-",A$18,", ",Info!B5)</f>
        <v>Industry Table 5  Employment status by Industry (SIC 2007) and Gender, 2020-2035, Black Country</v>
      </c>
    </row>
    <row r="2" spans="1:17">
      <c r="A2" s="1" t="s">
        <v>125</v>
      </c>
    </row>
    <row r="5" spans="1:17">
      <c r="A5" s="264"/>
      <c r="B5" s="265" t="s">
        <v>130</v>
      </c>
      <c r="C5" s="264"/>
      <c r="D5" s="265"/>
      <c r="E5" s="264"/>
      <c r="F5" s="265" t="str">
        <f>name!B3</f>
        <v>All industries</v>
      </c>
      <c r="G5" s="264"/>
      <c r="H5" s="267"/>
      <c r="I5" s="264"/>
      <c r="J5" s="266"/>
      <c r="K5" s="267"/>
      <c r="L5" s="267"/>
      <c r="M5" s="267"/>
      <c r="N5" s="267"/>
    </row>
    <row r="6" spans="1:17">
      <c r="N6" s="263" t="s">
        <v>131</v>
      </c>
    </row>
    <row r="7" spans="1:17">
      <c r="A7" s="272" t="s">
        <v>132</v>
      </c>
      <c r="B7" s="345" t="s">
        <v>133</v>
      </c>
      <c r="C7" s="345"/>
      <c r="D7" s="345" t="s">
        <v>134</v>
      </c>
      <c r="E7" s="345"/>
      <c r="F7" s="345" t="s">
        <v>135</v>
      </c>
      <c r="G7" s="345"/>
      <c r="H7" s="345" t="s">
        <v>117</v>
      </c>
      <c r="I7" s="345"/>
      <c r="J7" s="272"/>
      <c r="K7" s="273" t="s">
        <v>136</v>
      </c>
      <c r="L7" s="273" t="s">
        <v>137</v>
      </c>
      <c r="M7" s="273" t="s">
        <v>138</v>
      </c>
      <c r="N7" s="273" t="s">
        <v>117</v>
      </c>
    </row>
    <row r="8" spans="1:17">
      <c r="A8" s="262">
        <f>'Ind T6'!L5</f>
        <v>2020</v>
      </c>
      <c r="B8" s="263" t="s">
        <v>139</v>
      </c>
      <c r="C8" s="19" t="s">
        <v>140</v>
      </c>
      <c r="D8" s="263" t="s">
        <v>139</v>
      </c>
      <c r="E8" s="19" t="s">
        <v>140</v>
      </c>
      <c r="F8" s="263" t="s">
        <v>139</v>
      </c>
      <c r="G8" s="19" t="s">
        <v>140</v>
      </c>
      <c r="H8" s="263" t="s">
        <v>139</v>
      </c>
      <c r="I8" s="19" t="s">
        <v>140</v>
      </c>
      <c r="J8" s="159"/>
      <c r="K8" s="262" t="str">
        <f>CONCATENATE(A8," - ",A13)</f>
        <v>2020 - 2025</v>
      </c>
      <c r="L8" s="261"/>
      <c r="M8" s="261"/>
    </row>
    <row r="9" spans="1:17">
      <c r="A9" s="258" t="s">
        <v>141</v>
      </c>
      <c r="B9" s="225">
        <f>SUM(B30,B51,B72,B93,B114,B135,B156,B177,B198,B219,B240,B261,B282,B303,B324,B345,B366,B387,B408,B429,B450,B471)</f>
        <v>181.38082677896574</v>
      </c>
      <c r="C9" s="275" t="str">
        <f>CONCATENATE("(",ROUND((B9/$H11)*100,1),")")</f>
        <v>(36.6)</v>
      </c>
      <c r="D9" s="225">
        <f>SUM(D30,D51,D72,D93,D114,D135,D156,D177,D198,D219,D240,D261,D282,D303,D324,D345,D366,D387,D408,D429,D450,D471)</f>
        <v>41.657454411789352</v>
      </c>
      <c r="E9" s="275" t="str">
        <f>CONCATENATE("(",ROUND((D9/$H11)*100,1),")")</f>
        <v>(8.4)</v>
      </c>
      <c r="F9" s="225">
        <f>SUM(F30,F51,F72,F93,F114,F135,F156,F177,F198,F219,F240,F261,F282,F303,F324,F345,F366,F387,F408,F429,F450,F471)</f>
        <v>42.061123213386203</v>
      </c>
      <c r="G9" s="275" t="str">
        <f>CONCATENATE("(",ROUND((F9/$H11)*100,1),")")</f>
        <v>(8.5)</v>
      </c>
      <c r="H9" s="225">
        <f>SUM(H30,H51,H72,H93,H114,H135,H156,H177,H198,H219,H240,H261,H282,H303,H324,H345,H366,H387,H408,H429,H450,H471)</f>
        <v>265.09940440414124</v>
      </c>
      <c r="I9" s="275" t="str">
        <f>CONCATENATE("(",ROUND((H9/$H11)*100,1),")")</f>
        <v>(53.4)</v>
      </c>
      <c r="K9" s="225">
        <f>B14-B9</f>
        <v>2.753230926293412</v>
      </c>
      <c r="L9" s="225">
        <f>D14-D9</f>
        <v>1.3858663966439835</v>
      </c>
      <c r="M9" s="225">
        <f>F14-F9</f>
        <v>0.63646474196638536</v>
      </c>
      <c r="N9" s="225">
        <f>SUM(K9:M9)</f>
        <v>4.7755620649037809</v>
      </c>
      <c r="O9" s="274"/>
      <c r="P9" s="274"/>
      <c r="Q9" s="274"/>
    </row>
    <row r="10" spans="1:17">
      <c r="A10" s="258" t="s">
        <v>142</v>
      </c>
      <c r="B10" s="225">
        <f t="shared" ref="B10:B21" si="0">SUM(B31,B52,B73,B94,B115,B136,B157,B178,B199,B220,B241,B262,B283,B304,B325,B346,B367,B388,B409,B430,B451,B472)</f>
        <v>111.54209032787725</v>
      </c>
      <c r="C10" s="275" t="str">
        <f>CONCATENATE("(",ROUND((B10/$H11)*100,1),")")</f>
        <v>(22.5)</v>
      </c>
      <c r="D10" s="225">
        <f t="shared" ref="D10" si="1">SUM(D31,D52,D73,D94,D115,D136,D157,D178,D199,D220,D241,D262,D283,D304,D325,D346,D367,D388,D409,D430,D451,D472)</f>
        <v>102.44524353812915</v>
      </c>
      <c r="E10" s="275" t="str">
        <f>CONCATENATE("(",ROUND((D10/$H11)*100,1),")")</f>
        <v>(20.6)</v>
      </c>
      <c r="F10" s="225">
        <f t="shared" ref="F10" si="2">SUM(F31,F52,F73,F94,F115,F136,F157,F178,F199,F220,F241,F262,F283,F304,F325,F346,F367,F388,F409,F430,F451,F472)</f>
        <v>17.107261729852304</v>
      </c>
      <c r="G10" s="275" t="str">
        <f>CONCATENATE("(",ROUND((F10/$H11)*100,1),")")</f>
        <v>(3.4)</v>
      </c>
      <c r="H10" s="225">
        <f t="shared" ref="H10" si="3">SUM(H31,H52,H73,H94,H115,H136,H157,H178,H199,H220,H241,H262,H283,H304,H325,H346,H367,H388,H409,H430,H451,H472)</f>
        <v>231.09459559585872</v>
      </c>
      <c r="I10" s="275" t="str">
        <f>CONCATENATE("(",ROUND((H10/$H11)*100,1),")")</f>
        <v>(46.6)</v>
      </c>
      <c r="K10" s="225">
        <f t="shared" ref="K10:K11" si="4">B15-B10</f>
        <v>5.5941217087599142</v>
      </c>
      <c r="L10" s="225">
        <f t="shared" ref="L10:L11" si="5">D15-D10</f>
        <v>1.2154655178807729</v>
      </c>
      <c r="M10" s="225">
        <f t="shared" ref="M10:M11" si="6">F15-F10</f>
        <v>0.34885070845556498</v>
      </c>
      <c r="N10" s="225">
        <f t="shared" ref="N10:N11" si="7">SUM(K10:M10)</f>
        <v>7.1584379350962521</v>
      </c>
      <c r="O10" s="274"/>
      <c r="P10" s="274"/>
      <c r="Q10" s="274"/>
    </row>
    <row r="11" spans="1:17">
      <c r="A11" s="258" t="s">
        <v>143</v>
      </c>
      <c r="B11" s="225">
        <f t="shared" si="0"/>
        <v>292.92291710684299</v>
      </c>
      <c r="C11" s="275" t="str">
        <f>CONCATENATE("(",ROUND((B11/$H11)*100,1),")")</f>
        <v>(59)</v>
      </c>
      <c r="D11" s="225">
        <f t="shared" ref="D11" si="8">SUM(D32,D53,D74,D95,D116,D137,D158,D179,D200,D221,D242,D263,D284,D305,D326,D347,D368,D389,D410,D431,D452,D473)</f>
        <v>144.10269794991851</v>
      </c>
      <c r="E11" s="275" t="str">
        <f>CONCATENATE("(",ROUND((D11/$H11)*100,1),")")</f>
        <v>(29)</v>
      </c>
      <c r="F11" s="225">
        <f t="shared" ref="F11" si="9">SUM(F32,F53,F74,F95,F116,F137,F158,F179,F200,F221,F242,F263,F284,F305,F326,F347,F368,F389,F410,F431,F452,F473)</f>
        <v>59.168384943238514</v>
      </c>
      <c r="G11" s="275" t="str">
        <f>CONCATENATE("(",ROUND((F11/$H11)*100,1),")")</f>
        <v>(11.9)</v>
      </c>
      <c r="H11" s="225">
        <f t="shared" ref="H11" si="10">SUM(H32,H53,H74,H95,H116,H137,H158,H179,H200,H221,H242,H263,H284,H305,H326,H347,H368,H389,H410,H431,H452,H473)</f>
        <v>496.19400000000007</v>
      </c>
      <c r="I11" s="275" t="str">
        <f>CONCATENATE("(",ROUND((H11/$H11)*100,1),")")</f>
        <v>(100)</v>
      </c>
      <c r="K11" s="225">
        <f t="shared" si="4"/>
        <v>8.3473526350533689</v>
      </c>
      <c r="L11" s="225">
        <f t="shared" si="5"/>
        <v>2.6013319145247635</v>
      </c>
      <c r="M11" s="225">
        <f t="shared" si="6"/>
        <v>0.98531545042194324</v>
      </c>
      <c r="N11" s="225">
        <f t="shared" si="7"/>
        <v>11.934000000000076</v>
      </c>
      <c r="O11" s="274"/>
      <c r="P11" s="274"/>
      <c r="Q11" s="274"/>
    </row>
    <row r="12" spans="1:17">
      <c r="B12" s="225"/>
      <c r="C12" s="260"/>
      <c r="D12" s="225"/>
      <c r="E12" s="260"/>
      <c r="F12" s="225"/>
      <c r="G12" s="260"/>
      <c r="H12" s="225"/>
      <c r="I12" s="260"/>
    </row>
    <row r="13" spans="1:17">
      <c r="A13" s="262">
        <f>'Ind T6'!Q5</f>
        <v>2025</v>
      </c>
      <c r="B13" s="225"/>
      <c r="C13" s="260"/>
      <c r="D13" s="225"/>
      <c r="E13" s="260"/>
      <c r="F13" s="225"/>
      <c r="G13" s="260"/>
      <c r="H13" s="225"/>
      <c r="I13" s="260"/>
      <c r="K13" s="262" t="str">
        <f>CONCATENATE(A13," - ",A18)</f>
        <v>2025 - 2035</v>
      </c>
    </row>
    <row r="14" spans="1:17">
      <c r="A14" s="258" t="s">
        <v>141</v>
      </c>
      <c r="B14" s="225">
        <f>SUM(B35,B56,B77,B98,B119,B140,B161,B182,B203,B224,B245,B266,B287,B308,B329,B350,B371,B392,B413,B434,B455,B476)</f>
        <v>184.13405770525915</v>
      </c>
      <c r="C14" s="275" t="str">
        <f>CONCATENATE("(",ROUND((B14/$H16)*100,1),")")</f>
        <v>(36.2)</v>
      </c>
      <c r="D14" s="225">
        <f t="shared" ref="D14" si="11">SUM(D35,D56,D77,D98,D119,D140,D161,D182,D203,D224,D245,D266,D287,D308,D329,D350,D371,D392,D413,D434,D455,D476)</f>
        <v>43.043320808433336</v>
      </c>
      <c r="E14" s="275" t="str">
        <f>CONCATENATE("(",ROUND((D14/$H16)*100,1),")")</f>
        <v>(8.5)</v>
      </c>
      <c r="F14" s="225">
        <f t="shared" ref="F14" si="12">SUM(F35,F56,F77,F98,F119,F140,F161,F182,F203,F224,F245,F266,F287,F308,F329,F350,F371,F392,F413,F434,F455,F476)</f>
        <v>42.697587955352589</v>
      </c>
      <c r="G14" s="275" t="str">
        <f>CONCATENATE("(",ROUND((F14/$H16)*100,1),")")</f>
        <v>(8.4)</v>
      </c>
      <c r="H14" s="225">
        <f t="shared" ref="H14" si="13">SUM(H35,H56,H77,H98,H119,H140,H161,H182,H203,H224,H245,H266,H287,H308,H329,H350,H371,H392,H413,H434,H455,H476)</f>
        <v>269.87496646904503</v>
      </c>
      <c r="I14" s="275" t="str">
        <f>CONCATENATE("(",ROUND((H14/$H16)*100,1),")")</f>
        <v>(53.1)</v>
      </c>
      <c r="K14" s="225">
        <f>B19-B14</f>
        <v>-0.38738776158172072</v>
      </c>
      <c r="L14" s="225">
        <f>D19-D14</f>
        <v>2.3767364764629022</v>
      </c>
      <c r="M14" s="225">
        <f>F19-F14</f>
        <v>1.5801528222072463</v>
      </c>
      <c r="N14" s="225">
        <f>SUM(K14:M14)</f>
        <v>3.5695015370884278</v>
      </c>
    </row>
    <row r="15" spans="1:17">
      <c r="A15" s="258" t="s">
        <v>142</v>
      </c>
      <c r="B15" s="225">
        <f t="shared" si="0"/>
        <v>117.13621203663716</v>
      </c>
      <c r="C15" s="275" t="str">
        <f>CONCATENATE("(",ROUND((B15/$H16)*100,1),")")</f>
        <v>(23.1)</v>
      </c>
      <c r="D15" s="225">
        <f t="shared" ref="D15" si="14">SUM(D36,D57,D78,D99,D120,D141,D162,D183,D204,D225,D246,D267,D288,D309,D330,D351,D372,D393,D414,D435,D456,D477)</f>
        <v>103.66070905600992</v>
      </c>
      <c r="E15" s="275" t="str">
        <f>CONCATENATE("(",ROUND((D15/$H16)*100,1),")")</f>
        <v>(20.4)</v>
      </c>
      <c r="F15" s="225">
        <f t="shared" ref="F15" si="15">SUM(F36,F57,F78,F99,F120,F141,F162,F183,F204,F225,F246,F267,F288,F309,F330,F351,F372,F393,F414,F435,F456,F477)</f>
        <v>17.456112438307869</v>
      </c>
      <c r="G15" s="275" t="str">
        <f>CONCATENATE("(",ROUND((F15/$H16)*100,1),")")</f>
        <v>(3.4)</v>
      </c>
      <c r="H15" s="225">
        <f t="shared" ref="H15" si="16">SUM(H36,H57,H78,H99,H120,H141,H162,H183,H204,H225,H246,H267,H288,H309,H330,H351,H372,H393,H414,H435,H456,H477)</f>
        <v>238.25303353095492</v>
      </c>
      <c r="I15" s="275" t="str">
        <f>CONCATENATE("(",ROUND((H15/$H16)*100,1),")")</f>
        <v>(46.9)</v>
      </c>
      <c r="K15" s="225">
        <f t="shared" ref="K15:K16" si="17">B20-B15</f>
        <v>8.7457726876235</v>
      </c>
      <c r="L15" s="225">
        <f t="shared" ref="L15:L16" si="18">D20-D15</f>
        <v>0.46336889921461477</v>
      </c>
      <c r="M15" s="225">
        <f t="shared" ref="M15:M16" si="19">F20-F15</f>
        <v>1.0373568760731331</v>
      </c>
      <c r="N15" s="225">
        <f t="shared" ref="N15:N16" si="20">SUM(K15:M15)</f>
        <v>10.246498462911248</v>
      </c>
    </row>
    <row r="16" spans="1:17">
      <c r="A16" s="258" t="s">
        <v>143</v>
      </c>
      <c r="B16" s="225">
        <f t="shared" si="0"/>
        <v>301.27026974189636</v>
      </c>
      <c r="C16" s="275" t="str">
        <f>CONCATENATE("(",ROUND((B16/$H16)*100,1),")")</f>
        <v>(59.3)</v>
      </c>
      <c r="D16" s="225">
        <f t="shared" ref="D16" si="21">SUM(D37,D58,D79,D100,D121,D142,D163,D184,D205,D226,D247,D268,D289,D310,D331,D352,D373,D394,D415,D436,D457,D478)</f>
        <v>146.70402986444327</v>
      </c>
      <c r="E16" s="275" t="str">
        <f>CONCATENATE("(",ROUND((D16/$H16)*100,1),")")</f>
        <v>(28.9)</v>
      </c>
      <c r="F16" s="225">
        <f t="shared" ref="F16" si="22">SUM(F37,F58,F79,F100,F121,F142,F163,F184,F205,F226,F247,F268,F289,F310,F331,F352,F373,F394,F415,F436,F457,F478)</f>
        <v>60.153700393660458</v>
      </c>
      <c r="G16" s="275" t="str">
        <f>CONCATENATE("(",ROUND((F16/$H16)*100,1),")")</f>
        <v>(11.8)</v>
      </c>
      <c r="H16" s="225">
        <f t="shared" ref="H16" si="23">SUM(H37,H58,H79,H100,H121,H142,H163,H184,H205,H226,H247,H268,H289,H310,H331,H352,H373,H394,H415,H436,H457,H478)</f>
        <v>508.12800000000004</v>
      </c>
      <c r="I16" s="275" t="str">
        <f>CONCATENATE("(",ROUND((H16/$H16)*100,1),")")</f>
        <v>(100)</v>
      </c>
      <c r="K16" s="225">
        <f t="shared" si="17"/>
        <v>8.3583849260417082</v>
      </c>
      <c r="L16" s="225">
        <f t="shared" si="18"/>
        <v>2.8401053756774672</v>
      </c>
      <c r="M16" s="225">
        <f t="shared" si="19"/>
        <v>2.6175096982803723</v>
      </c>
      <c r="N16" s="225">
        <f t="shared" si="20"/>
        <v>13.815999999999548</v>
      </c>
    </row>
    <row r="17" spans="1:14">
      <c r="B17" s="225"/>
      <c r="C17" s="260"/>
      <c r="D17" s="225"/>
      <c r="E17" s="260"/>
      <c r="F17" s="225"/>
      <c r="G17" s="260"/>
      <c r="H17" s="225"/>
      <c r="I17" s="260"/>
    </row>
    <row r="18" spans="1:14">
      <c r="A18" s="262">
        <f>'Ind T6'!V5</f>
        <v>2035</v>
      </c>
      <c r="B18" s="225"/>
      <c r="C18" s="260"/>
      <c r="D18" s="225"/>
      <c r="E18" s="260"/>
      <c r="F18" s="225"/>
      <c r="G18" s="260"/>
      <c r="H18" s="225"/>
      <c r="I18" s="260"/>
      <c r="K18" s="262" t="str">
        <f>CONCATENATE(A8," - ",A18)</f>
        <v>2020 - 2035</v>
      </c>
    </row>
    <row r="19" spans="1:14">
      <c r="A19" s="258" t="s">
        <v>141</v>
      </c>
      <c r="B19" s="225">
        <f t="shared" si="0"/>
        <v>183.74666994367743</v>
      </c>
      <c r="C19" s="275" t="str">
        <f>CONCATENATE("(",ROUND((B19/$H21)*100,1),")")</f>
        <v>(35.2)</v>
      </c>
      <c r="D19" s="225">
        <f t="shared" ref="D19" si="24">SUM(D40,D61,D82,D103,D124,D145,D166,D187,D208,D229,D250,D271,D292,D313,D334,D355,D376,D397,D418,D439,D460,D481)</f>
        <v>45.420057284896238</v>
      </c>
      <c r="E19" s="275" t="str">
        <f>CONCATENATE("(",ROUND((D19/$H21)*100,1),")")</f>
        <v>(8.7)</v>
      </c>
      <c r="F19" s="225">
        <f t="shared" ref="F19" si="25">SUM(F40,F61,F82,F103,F124,F145,F166,F187,F208,F229,F250,F271,F292,F313,F334,F355,F376,F397,F418,F439,F460,F481)</f>
        <v>44.277740777559835</v>
      </c>
      <c r="G19" s="275" t="str">
        <f>CONCATENATE("(",ROUND((F19/$H21)*100,1),")")</f>
        <v>(8.5)</v>
      </c>
      <c r="H19" s="225">
        <f t="shared" ref="H19" si="26">SUM(H40,H61,H82,H103,H124,H145,H166,H187,H208,H229,H250,H271,H292,H313,H334,H355,H376,H397,H418,H439,H460,H481)</f>
        <v>273.44446800613349</v>
      </c>
      <c r="I19" s="275" t="str">
        <f>CONCATENATE("(",ROUND((H19/$H21)*100,1),")")</f>
        <v>(52.4)</v>
      </c>
      <c r="K19" s="225">
        <f>B19-B9</f>
        <v>2.3658431647116913</v>
      </c>
      <c r="L19" s="225">
        <f>D19-D9</f>
        <v>3.7626028731068857</v>
      </c>
      <c r="M19" s="225">
        <f>F19-F9</f>
        <v>2.2166175641736316</v>
      </c>
      <c r="N19" s="225">
        <f>SUM(K19:M19)</f>
        <v>8.3450636019922086</v>
      </c>
    </row>
    <row r="20" spans="1:14">
      <c r="A20" s="258" t="s">
        <v>142</v>
      </c>
      <c r="B20" s="225">
        <f t="shared" si="0"/>
        <v>125.88198472426066</v>
      </c>
      <c r="C20" s="275" t="str">
        <f>CONCATENATE("(",ROUND((B20/$H21)*100,1),")")</f>
        <v>(24.1)</v>
      </c>
      <c r="D20" s="225">
        <f t="shared" ref="D20" si="27">SUM(D41,D62,D83,D104,D125,D146,D167,D188,D209,D230,D251,D272,D293,D314,D335,D356,D377,D398,D419,D440,D461,D482)</f>
        <v>104.12407795522454</v>
      </c>
      <c r="E20" s="275" t="str">
        <f>CONCATENATE("(",ROUND((D20/$H21)*100,1),")")</f>
        <v>(19.9)</v>
      </c>
      <c r="F20" s="225">
        <f t="shared" ref="F20" si="28">SUM(F41,F62,F83,F104,F125,F146,F167,F188,F209,F230,F251,F272,F293,F314,F335,F356,F377,F398,F419,F440,F461,F482)</f>
        <v>18.493469314381002</v>
      </c>
      <c r="G20" s="275" t="str">
        <f>CONCATENATE("(",ROUND((F20/$H21)*100,1),")")</f>
        <v>(3.5)</v>
      </c>
      <c r="H20" s="225">
        <f t="shared" ref="H20" si="29">SUM(H41,H62,H83,H104,H125,H146,H167,H188,H209,H230,H251,H272,H293,H314,H335,H356,H377,H398,H419,H440,H461,H482)</f>
        <v>248.49953199386616</v>
      </c>
      <c r="I20" s="275" t="str">
        <f>CONCATENATE("(",ROUND((H20/$H21)*100,1),")")</f>
        <v>(47.6)</v>
      </c>
      <c r="K20" s="225">
        <f t="shared" ref="K20:K21" si="30">B20-B10</f>
        <v>14.339894396383414</v>
      </c>
      <c r="L20" s="225">
        <f t="shared" ref="L20:L21" si="31">D20-D10</f>
        <v>1.6788344170953877</v>
      </c>
      <c r="M20" s="225">
        <f t="shared" ref="M20:M21" si="32">F20-F10</f>
        <v>1.3862075845286981</v>
      </c>
      <c r="N20" s="225">
        <f t="shared" ref="N20:N21" si="33">SUM(K20:M20)</f>
        <v>17.4049363980075</v>
      </c>
    </row>
    <row r="21" spans="1:14">
      <c r="A21" s="258" t="s">
        <v>143</v>
      </c>
      <c r="B21" s="225">
        <f t="shared" si="0"/>
        <v>309.62865466793806</v>
      </c>
      <c r="C21" s="275" t="str">
        <f>CONCATENATE("(",ROUND((B21/$H21)*100,1),")")</f>
        <v>(59.3)</v>
      </c>
      <c r="D21" s="225">
        <f t="shared" ref="D21" si="34">SUM(D42,D63,D84,D105,D126,D147,D168,D189,D210,D231,D252,D273,D294,D315,D336,D357,D378,D399,D420,D441,D462,D483)</f>
        <v>149.54413524012074</v>
      </c>
      <c r="E21" s="275" t="str">
        <f>CONCATENATE("(",ROUND((D21/$H21)*100,1),")")</f>
        <v>(28.7)</v>
      </c>
      <c r="F21" s="225">
        <f>SUM(F42,F63,F84,F105,F126,F147,F168,F189,F210,F231,F252,F273,F294,F315,F336,F357,F378,F399,F420,F441,F462,F483)</f>
        <v>62.77121009194083</v>
      </c>
      <c r="G21" s="275" t="str">
        <f>CONCATENATE("(",ROUND((F21/$H21)*100,1),")")</f>
        <v>(12)</v>
      </c>
      <c r="H21" s="225">
        <f t="shared" ref="H21" si="35">SUM(H42,H63,H84,H105,H126,H147,H168,H189,H210,H231,H252,H273,H294,H315,H336,H357,H378,H399,H420,H441,H462,H483)</f>
        <v>521.94399999999962</v>
      </c>
      <c r="I21" s="275" t="str">
        <f>CONCATENATE("(",ROUND((H21/$H21)*100,1),")")</f>
        <v>(100)</v>
      </c>
      <c r="K21" s="225">
        <f t="shared" si="30"/>
        <v>16.705737561095077</v>
      </c>
      <c r="L21" s="225">
        <f t="shared" si="31"/>
        <v>5.4414372902022308</v>
      </c>
      <c r="M21" s="225">
        <f t="shared" si="32"/>
        <v>3.6028251487023155</v>
      </c>
      <c r="N21" s="225">
        <f t="shared" si="33"/>
        <v>25.749999999999623</v>
      </c>
    </row>
    <row r="22" spans="1:14">
      <c r="A22" s="269"/>
      <c r="B22" s="270"/>
      <c r="C22" s="269"/>
      <c r="D22" s="270"/>
      <c r="E22" s="269"/>
      <c r="F22" s="270"/>
      <c r="G22" s="269"/>
      <c r="H22" s="270"/>
      <c r="I22" s="269"/>
      <c r="J22" s="269"/>
      <c r="K22" s="270"/>
      <c r="L22" s="270"/>
      <c r="M22" s="270"/>
      <c r="N22" s="270"/>
    </row>
    <row r="26" spans="1:14">
      <c r="A26" s="264"/>
      <c r="B26" s="265" t="s">
        <v>130</v>
      </c>
      <c r="C26" s="264"/>
      <c r="D26" s="265"/>
      <c r="E26" s="264"/>
      <c r="F26" s="265" t="str">
        <f>name!B4</f>
        <v>Agriculture</v>
      </c>
      <c r="G26" s="264"/>
      <c r="H26" s="267"/>
      <c r="I26" s="264"/>
      <c r="J26" s="266"/>
      <c r="K26" s="267"/>
      <c r="L26" s="267"/>
      <c r="M26" s="267"/>
      <c r="N26" s="267"/>
    </row>
    <row r="27" spans="1:14">
      <c r="N27" s="263" t="s">
        <v>131</v>
      </c>
    </row>
    <row r="28" spans="1:14">
      <c r="A28" s="272" t="s">
        <v>132</v>
      </c>
      <c r="B28" s="345" t="s">
        <v>133</v>
      </c>
      <c r="C28" s="345"/>
      <c r="D28" s="345" t="s">
        <v>134</v>
      </c>
      <c r="E28" s="345"/>
      <c r="F28" s="345" t="s">
        <v>135</v>
      </c>
      <c r="G28" s="345"/>
      <c r="H28" s="345" t="s">
        <v>117</v>
      </c>
      <c r="I28" s="345"/>
      <c r="J28" s="272"/>
      <c r="K28" s="273" t="s">
        <v>136</v>
      </c>
      <c r="L28" s="273" t="s">
        <v>137</v>
      </c>
      <c r="M28" s="273" t="s">
        <v>138</v>
      </c>
      <c r="N28" s="273" t="s">
        <v>117</v>
      </c>
    </row>
    <row r="29" spans="1:14">
      <c r="A29" s="268">
        <f>$A$8</f>
        <v>2020</v>
      </c>
      <c r="B29" s="263" t="s">
        <v>139</v>
      </c>
      <c r="C29" s="19" t="s">
        <v>140</v>
      </c>
      <c r="D29" s="263" t="s">
        <v>139</v>
      </c>
      <c r="E29" s="19" t="s">
        <v>140</v>
      </c>
      <c r="F29" s="263" t="s">
        <v>139</v>
      </c>
      <c r="G29" s="19" t="s">
        <v>140</v>
      </c>
      <c r="H29" s="263" t="s">
        <v>139</v>
      </c>
      <c r="I29" s="19" t="s">
        <v>140</v>
      </c>
      <c r="J29" s="159"/>
      <c r="K29" s="262" t="str">
        <f>CONCATENATE(A29," - ",A34)</f>
        <v>2020 - 2025</v>
      </c>
      <c r="L29" s="261"/>
      <c r="M29" s="261"/>
    </row>
    <row r="30" spans="1:14">
      <c r="A30" s="258" t="s">
        <v>141</v>
      </c>
      <c r="B30" s="278">
        <f>'Ind T6'!L9</f>
        <v>0.36218995912100899</v>
      </c>
      <c r="C30" s="275" t="str">
        <f>CONCATENATE("(",ROUND((B30/$H32)*100,1),")")</f>
        <v>(32.5)</v>
      </c>
      <c r="D30" s="278">
        <f>'Ind T6'!M9</f>
        <v>9.1662636832458826E-3</v>
      </c>
      <c r="E30" s="275" t="str">
        <f>CONCATENATE("(",ROUND((D30/$H32)*100,1),")")</f>
        <v>(0.8)</v>
      </c>
      <c r="F30" s="278">
        <f>'Ind T6'!N9</f>
        <v>0.37669912515376269</v>
      </c>
      <c r="G30" s="275" t="str">
        <f>CONCATENATE("(",ROUND((F30/$H32)*100,1),")")</f>
        <v>(33.8)</v>
      </c>
      <c r="H30" s="278">
        <f>SUM(B30,D30,F30)</f>
        <v>0.74805534795801754</v>
      </c>
      <c r="I30" s="275" t="str">
        <f>CONCATENATE("(",ROUND((H30/$H32)*100,1),")")</f>
        <v>(67.1)</v>
      </c>
      <c r="K30" s="278">
        <f>B35-B30</f>
        <v>4.3742082164894669E-2</v>
      </c>
      <c r="L30" s="278">
        <f>D35-D30</f>
        <v>8.4984505087263608E-4</v>
      </c>
      <c r="M30" s="278">
        <f>F35-F30</f>
        <v>1.9471023332598258E-2</v>
      </c>
      <c r="N30" s="278">
        <f>SUM(K30:M30)</f>
        <v>6.4062950548365555E-2</v>
      </c>
    </row>
    <row r="31" spans="1:14">
      <c r="A31" s="258" t="s">
        <v>142</v>
      </c>
      <c r="B31" s="278">
        <f>'Ind T6'!L8</f>
        <v>0.20494197037121709</v>
      </c>
      <c r="C31" s="275" t="str">
        <f>CONCATENATE("(",ROUND((B31/$H32)*100,1),")")</f>
        <v>(18.4)</v>
      </c>
      <c r="D31" s="278">
        <f>'Ind T6'!M8</f>
        <v>9.9015254761127495E-3</v>
      </c>
      <c r="E31" s="275" t="str">
        <f>CONCATENATE("(",ROUND((D31/$H32)*100,1),")")</f>
        <v>(0.9)</v>
      </c>
      <c r="F31" s="278">
        <f>'Ind T6'!N8</f>
        <v>0.15210115619465153</v>
      </c>
      <c r="G31" s="275" t="str">
        <f>CONCATENATE("(",ROUND((F31/$H32)*100,1),")")</f>
        <v>(13.6)</v>
      </c>
      <c r="H31" s="278">
        <f t="shared" ref="H31" si="36">SUM(B31,D31,F31)</f>
        <v>0.36694465204198135</v>
      </c>
      <c r="I31" s="275" t="str">
        <f>CONCATENATE("(",ROUND((H31/$H32)*100,1),")")</f>
        <v>(32.9)</v>
      </c>
      <c r="K31" s="278">
        <f t="shared" ref="K31:K32" si="37">B36-B31</f>
        <v>1.7242776678049437E-2</v>
      </c>
      <c r="L31" s="278">
        <f t="shared" ref="L31:L32" si="38">D36-D31</f>
        <v>5.213287905691498E-4</v>
      </c>
      <c r="M31" s="278">
        <f t="shared" ref="M31:M32" si="39">F36-F31</f>
        <v>1.5172943983017745E-2</v>
      </c>
      <c r="N31" s="278">
        <f t="shared" ref="N31:N32" si="40">SUM(K31:M31)</f>
        <v>3.2937049451636335E-2</v>
      </c>
    </row>
    <row r="32" spans="1:14">
      <c r="A32" s="258" t="s">
        <v>143</v>
      </c>
      <c r="B32" s="278">
        <f>SUM(B30:B31)</f>
        <v>0.56713192949222613</v>
      </c>
      <c r="C32" s="275" t="str">
        <f>CONCATENATE("(",ROUND((B32/$H32)*100,1),")")</f>
        <v>(50.9)</v>
      </c>
      <c r="D32" s="278">
        <f>SUM(D30:D31)</f>
        <v>1.9067789159358632E-2</v>
      </c>
      <c r="E32" s="275" t="str">
        <f>CONCATENATE("(",ROUND((D32/$H32)*100,1),")")</f>
        <v>(1.7)</v>
      </c>
      <c r="F32" s="278">
        <f>SUM(F30:F31)</f>
        <v>0.52880028134841428</v>
      </c>
      <c r="G32" s="275" t="str">
        <f>CONCATENATE("(",ROUND((F32/$H32)*100,1),")")</f>
        <v>(47.4)</v>
      </c>
      <c r="H32" s="278">
        <f>SUM(H30:H31)</f>
        <v>1.1149999999999989</v>
      </c>
      <c r="I32" s="275" t="str">
        <f>CONCATENATE("(",ROUND((H32/$H32)*100,1),")")</f>
        <v>(100)</v>
      </c>
      <c r="K32" s="278">
        <f t="shared" si="37"/>
        <v>6.0984858842944023E-2</v>
      </c>
      <c r="L32" s="278">
        <f t="shared" si="38"/>
        <v>1.3711738414417876E-3</v>
      </c>
      <c r="M32" s="278">
        <f t="shared" si="39"/>
        <v>3.464396731561592E-2</v>
      </c>
      <c r="N32" s="278">
        <f t="shared" si="40"/>
        <v>9.7000000000001724E-2</v>
      </c>
    </row>
    <row r="33" spans="1:14">
      <c r="B33" s="278"/>
      <c r="C33" s="260"/>
      <c r="D33" s="278"/>
      <c r="E33" s="260"/>
      <c r="F33" s="278"/>
      <c r="G33" s="260"/>
      <c r="H33" s="278"/>
      <c r="I33" s="260"/>
    </row>
    <row r="34" spans="1:14">
      <c r="A34" s="268">
        <f>$A$13</f>
        <v>2025</v>
      </c>
      <c r="B34" s="278"/>
      <c r="C34" s="260"/>
      <c r="D34" s="278"/>
      <c r="E34" s="260"/>
      <c r="F34" s="278"/>
      <c r="G34" s="260"/>
      <c r="H34" s="278"/>
      <c r="I34" s="260"/>
      <c r="K34" s="262" t="str">
        <f>CONCATENATE(A34," - ",A39)</f>
        <v>2025 - 2035</v>
      </c>
    </row>
    <row r="35" spans="1:14">
      <c r="A35" s="258" t="s">
        <v>141</v>
      </c>
      <c r="B35" s="278">
        <f>'Ind T6'!Q9</f>
        <v>0.40593204128590366</v>
      </c>
      <c r="C35" s="275" t="str">
        <f>CONCATENATE("(",ROUND((B35/$H37)*100,1),")")</f>
        <v>(33.5)</v>
      </c>
      <c r="D35" s="278">
        <f>'Ind T6'!R9</f>
        <v>1.0016108734118519E-2</v>
      </c>
      <c r="E35" s="275" t="str">
        <f>CONCATENATE("(",ROUND((D35/$H37)*100,1),")")</f>
        <v>(0.8)</v>
      </c>
      <c r="F35" s="278">
        <f>'Ind T6'!S9</f>
        <v>0.39617014848636095</v>
      </c>
      <c r="G35" s="275" t="str">
        <f>CONCATENATE("(",ROUND((F35/$H37)*100,1),")")</f>
        <v>(32.7)</v>
      </c>
      <c r="H35" s="278">
        <f>SUM(B35,D35,F35)</f>
        <v>0.81211829850638306</v>
      </c>
      <c r="I35" s="275" t="str">
        <f>CONCATENATE("(",ROUND((H35/$H37)*100,1),")")</f>
        <v>(67)</v>
      </c>
      <c r="K35" s="278">
        <f>B40-B35</f>
        <v>3.2050238474309989E-2</v>
      </c>
      <c r="L35" s="278">
        <f>D40-D35</f>
        <v>1.0911499774418632E-5</v>
      </c>
      <c r="M35" s="278">
        <f>F40-F35</f>
        <v>-3.1227330855796598E-2</v>
      </c>
      <c r="N35" s="278">
        <f>SUM(K35:M35)</f>
        <v>8.3381911828780964E-4</v>
      </c>
    </row>
    <row r="36" spans="1:14">
      <c r="A36" s="258" t="s">
        <v>142</v>
      </c>
      <c r="B36" s="278">
        <f>'Ind T6'!Q8</f>
        <v>0.22218474704926652</v>
      </c>
      <c r="C36" s="275" t="str">
        <f>CONCATENATE("(",ROUND((B36/$H37)*100,1),")")</f>
        <v>(18.3)</v>
      </c>
      <c r="D36" s="278">
        <f>'Ind T6'!R8</f>
        <v>1.0422854266681899E-2</v>
      </c>
      <c r="E36" s="275" t="str">
        <f>CONCATENATE("(",ROUND((D36/$H37)*100,1),")")</f>
        <v>(0.9)</v>
      </c>
      <c r="F36" s="278">
        <f>'Ind T6'!S8</f>
        <v>0.16727410017766928</v>
      </c>
      <c r="G36" s="275" t="str">
        <f>CONCATENATE("(",ROUND((F36/$H37)*100,1),")")</f>
        <v>(13.8)</v>
      </c>
      <c r="H36" s="278">
        <f t="shared" ref="H36" si="41">SUM(B36,D36,F36)</f>
        <v>0.39988170149361768</v>
      </c>
      <c r="I36" s="275" t="str">
        <f>CONCATENATE("(",ROUND((H36/$H37)*100,1),")")</f>
        <v>(33)</v>
      </c>
      <c r="K36" s="278">
        <f t="shared" ref="K36:K37" si="42">B41-B36</f>
        <v>-1.2340118406981571E-3</v>
      </c>
      <c r="L36" s="278">
        <f t="shared" ref="L36:L37" si="43">D41-D36</f>
        <v>-8.03022671516938E-4</v>
      </c>
      <c r="M36" s="278">
        <f t="shared" ref="M36:M37" si="44">F41-F36</f>
        <v>4.2032153939248473E-3</v>
      </c>
      <c r="N36" s="278">
        <f t="shared" ref="N36:N37" si="45">SUM(K36:M36)</f>
        <v>2.1661808817097523E-3</v>
      </c>
    </row>
    <row r="37" spans="1:14">
      <c r="A37" s="258" t="s">
        <v>143</v>
      </c>
      <c r="B37" s="278">
        <f>SUM(B35:B36)</f>
        <v>0.62811678833517015</v>
      </c>
      <c r="C37" s="275" t="str">
        <f>CONCATENATE("(",ROUND((B37/$H37)*100,1),")")</f>
        <v>(51.8)</v>
      </c>
      <c r="D37" s="278">
        <f>SUM(D35:D36)</f>
        <v>2.043896300080042E-2</v>
      </c>
      <c r="E37" s="275" t="str">
        <f>CONCATENATE("(",ROUND((D37/$H37)*100,1),")")</f>
        <v>(1.7)</v>
      </c>
      <c r="F37" s="278">
        <f>SUM(F35:F36)</f>
        <v>0.5634442486640302</v>
      </c>
      <c r="G37" s="275" t="str">
        <f>CONCATENATE("(",ROUND((F37/$H37)*100,1),")")</f>
        <v>(46.5)</v>
      </c>
      <c r="H37" s="278">
        <f>SUM(H35:H36)</f>
        <v>1.2120000000000006</v>
      </c>
      <c r="I37" s="275" t="str">
        <f>CONCATENATE("(",ROUND((H37/$H37)*100,1),")")</f>
        <v>(100)</v>
      </c>
      <c r="K37" s="278">
        <f t="shared" si="42"/>
        <v>3.0816226633611832E-2</v>
      </c>
      <c r="L37" s="278">
        <f t="shared" si="43"/>
        <v>-7.921111717425211E-4</v>
      </c>
      <c r="M37" s="278">
        <f t="shared" si="44"/>
        <v>-2.7024115461871667E-2</v>
      </c>
      <c r="N37" s="278">
        <f t="shared" si="45"/>
        <v>2.9999999999976434E-3</v>
      </c>
    </row>
    <row r="38" spans="1:14">
      <c r="B38" s="278"/>
      <c r="C38" s="260"/>
      <c r="D38" s="278"/>
      <c r="E38" s="260"/>
      <c r="F38" s="278"/>
      <c r="G38" s="260"/>
      <c r="H38" s="278"/>
      <c r="I38" s="260"/>
    </row>
    <row r="39" spans="1:14">
      <c r="A39" s="268">
        <f>$A$18</f>
        <v>2035</v>
      </c>
      <c r="B39" s="278"/>
      <c r="C39" s="260"/>
      <c r="D39" s="278"/>
      <c r="E39" s="260"/>
      <c r="F39" s="278"/>
      <c r="G39" s="260"/>
      <c r="H39" s="278"/>
      <c r="I39" s="260"/>
      <c r="K39" s="262" t="str">
        <f>CONCATENATE(A29," - ",A39)</f>
        <v>2020 - 2035</v>
      </c>
    </row>
    <row r="40" spans="1:14">
      <c r="A40" s="258" t="s">
        <v>141</v>
      </c>
      <c r="B40" s="278">
        <f>'Ind T6'!V9</f>
        <v>0.43798227976021364</v>
      </c>
      <c r="C40" s="275" t="str">
        <f>CONCATENATE("(",ROUND((B40/$H42)*100,1),")")</f>
        <v>(36)</v>
      </c>
      <c r="D40" s="278">
        <f>'Ind T6'!W9</f>
        <v>1.0027020233892937E-2</v>
      </c>
      <c r="E40" s="275" t="str">
        <f>CONCATENATE("(",ROUND((D40/$H42)*100,1),")")</f>
        <v>(0.8)</v>
      </c>
      <c r="F40" s="278">
        <f>'Ind T6'!X9</f>
        <v>0.36494281763056435</v>
      </c>
      <c r="G40" s="275" t="str">
        <f>CONCATENATE("(",ROUND((F40/$H42)*100,1),")")</f>
        <v>(30)</v>
      </c>
      <c r="H40" s="278">
        <f>SUM(B40,D40,F40)</f>
        <v>0.81295211762467101</v>
      </c>
      <c r="I40" s="275" t="str">
        <f>CONCATENATE("(",ROUND((H40/$H42)*100,1),")")</f>
        <v>(66.9)</v>
      </c>
      <c r="K40" s="278">
        <f>B40-B30</f>
        <v>7.5792320639204658E-2</v>
      </c>
      <c r="L40" s="278">
        <f>D40-D30</f>
        <v>8.6075655064705471E-4</v>
      </c>
      <c r="M40" s="278">
        <f>F40-F30</f>
        <v>-1.1756307523198339E-2</v>
      </c>
      <c r="N40" s="278">
        <f>SUM(K40:M40)</f>
        <v>6.4896769666653378E-2</v>
      </c>
    </row>
    <row r="41" spans="1:14">
      <c r="A41" s="258" t="s">
        <v>142</v>
      </c>
      <c r="B41" s="278">
        <f>'Ind T6'!V8</f>
        <v>0.22095073520856837</v>
      </c>
      <c r="C41" s="275" t="str">
        <f>CONCATENATE("(",ROUND((B41/$H42)*100,1),")")</f>
        <v>(18.2)</v>
      </c>
      <c r="D41" s="278">
        <f>'Ind T6'!W8</f>
        <v>9.6198315951649613E-3</v>
      </c>
      <c r="E41" s="275" t="str">
        <f>CONCATENATE("(",ROUND((D41/$H42)*100,1),")")</f>
        <v>(0.8)</v>
      </c>
      <c r="F41" s="278">
        <f>'Ind T6'!X8</f>
        <v>0.17147731557159412</v>
      </c>
      <c r="G41" s="275" t="str">
        <f>CONCATENATE("(",ROUND((F41/$H42)*100,1),")")</f>
        <v>(14.1)</v>
      </c>
      <c r="H41" s="278">
        <f t="shared" ref="H41" si="46">SUM(B41,D41,F41)</f>
        <v>0.40204788237532746</v>
      </c>
      <c r="I41" s="275" t="str">
        <f>CONCATENATE("(",ROUND((H41/$H42)*100,1),")")</f>
        <v>(33.1)</v>
      </c>
      <c r="K41" s="278">
        <f t="shared" ref="K41:K42" si="47">B41-B31</f>
        <v>1.600876483735128E-2</v>
      </c>
      <c r="L41" s="278">
        <f t="shared" ref="L41:L42" si="48">D41-D31</f>
        <v>-2.816938809477882E-4</v>
      </c>
      <c r="M41" s="278">
        <f t="shared" ref="M41:M42" si="49">F41-F31</f>
        <v>1.9376159376942592E-2</v>
      </c>
      <c r="N41" s="278">
        <f t="shared" ref="N41:N42" si="50">SUM(K41:M41)</f>
        <v>3.5103230333346086E-2</v>
      </c>
    </row>
    <row r="42" spans="1:14">
      <c r="A42" s="258" t="s">
        <v>143</v>
      </c>
      <c r="B42" s="278">
        <f>SUM(B40:B41)</f>
        <v>0.65893301496878198</v>
      </c>
      <c r="C42" s="275" t="str">
        <f>CONCATENATE("(",ROUND((B42/$H42)*100,1),")")</f>
        <v>(54.2)</v>
      </c>
      <c r="D42" s="278">
        <f>SUM(D40:D41)</f>
        <v>1.9646851829057899E-2</v>
      </c>
      <c r="E42" s="275" t="str">
        <f>CONCATENATE("(",ROUND((D42/$H42)*100,1),")")</f>
        <v>(1.6)</v>
      </c>
      <c r="F42" s="278">
        <f>SUM(F40:F41)</f>
        <v>0.53642013320215853</v>
      </c>
      <c r="G42" s="275" t="str">
        <f>CONCATENATE("(",ROUND((F42/$H42)*100,1),")")</f>
        <v>(44.1)</v>
      </c>
      <c r="H42" s="278">
        <f>SUM(H40:H41)</f>
        <v>1.2149999999999985</v>
      </c>
      <c r="I42" s="275" t="str">
        <f>CONCATENATE("(",ROUND((H42/$H42)*100,1),")")</f>
        <v>(100)</v>
      </c>
      <c r="K42" s="278">
        <f t="shared" si="47"/>
        <v>9.1801085476555855E-2</v>
      </c>
      <c r="L42" s="278">
        <f t="shared" si="48"/>
        <v>5.7906266969926651E-4</v>
      </c>
      <c r="M42" s="278">
        <f t="shared" si="49"/>
        <v>7.6198518537442528E-3</v>
      </c>
      <c r="N42" s="278">
        <f t="shared" si="50"/>
        <v>9.9999999999999367E-2</v>
      </c>
    </row>
    <row r="43" spans="1:14">
      <c r="A43" s="269"/>
      <c r="B43" s="270"/>
      <c r="C43" s="269"/>
      <c r="D43" s="270"/>
      <c r="E43" s="269"/>
      <c r="F43" s="270"/>
      <c r="G43" s="269"/>
      <c r="H43" s="270"/>
      <c r="I43" s="269"/>
      <c r="J43" s="269"/>
      <c r="K43" s="270"/>
      <c r="L43" s="270"/>
      <c r="M43" s="270"/>
      <c r="N43" s="270"/>
    </row>
    <row r="46" spans="1:14">
      <c r="C46" s="159"/>
      <c r="E46" s="159"/>
      <c r="G46" s="159"/>
      <c r="I46" s="159"/>
    </row>
    <row r="47" spans="1:14">
      <c r="A47" s="264"/>
      <c r="B47" s="265" t="s">
        <v>130</v>
      </c>
      <c r="C47" s="264"/>
      <c r="D47" s="265"/>
      <c r="E47" s="264"/>
      <c r="F47" s="265" t="str">
        <f>name!B5</f>
        <v>Mining and quarrying</v>
      </c>
      <c r="G47" s="264"/>
      <c r="H47" s="267"/>
      <c r="I47" s="264"/>
      <c r="J47" s="266"/>
      <c r="K47" s="267"/>
      <c r="L47" s="267"/>
      <c r="M47" s="267"/>
      <c r="N47" s="267"/>
    </row>
    <row r="48" spans="1:14">
      <c r="N48" s="263" t="s">
        <v>131</v>
      </c>
    </row>
    <row r="49" spans="1:14">
      <c r="A49" s="159" t="s">
        <v>132</v>
      </c>
      <c r="B49" s="344" t="s">
        <v>133</v>
      </c>
      <c r="C49" s="344"/>
      <c r="D49" s="344" t="s">
        <v>134</v>
      </c>
      <c r="E49" s="344"/>
      <c r="F49" s="344" t="s">
        <v>135</v>
      </c>
      <c r="G49" s="344"/>
      <c r="H49" s="344" t="s">
        <v>117</v>
      </c>
      <c r="I49" s="344"/>
      <c r="J49" s="159"/>
      <c r="K49" s="273" t="s">
        <v>136</v>
      </c>
      <c r="L49" s="273" t="s">
        <v>137</v>
      </c>
      <c r="M49" s="273" t="s">
        <v>138</v>
      </c>
      <c r="N49" s="273" t="s">
        <v>117</v>
      </c>
    </row>
    <row r="50" spans="1:14">
      <c r="A50" s="268">
        <f>$A$8</f>
        <v>2020</v>
      </c>
      <c r="B50" s="263" t="s">
        <v>139</v>
      </c>
      <c r="C50" s="19" t="s">
        <v>140</v>
      </c>
      <c r="D50" s="263" t="s">
        <v>139</v>
      </c>
      <c r="E50" s="19" t="s">
        <v>140</v>
      </c>
      <c r="F50" s="263" t="s">
        <v>139</v>
      </c>
      <c r="G50" s="19" t="s">
        <v>140</v>
      </c>
      <c r="H50" s="263" t="s">
        <v>139</v>
      </c>
      <c r="I50" s="19" t="s">
        <v>140</v>
      </c>
      <c r="J50" s="159"/>
      <c r="K50" s="262" t="str">
        <f>CONCATENATE(A50," - ",A55)</f>
        <v>2020 - 2025</v>
      </c>
      <c r="L50" s="261"/>
      <c r="M50" s="261"/>
    </row>
    <row r="51" spans="1:14">
      <c r="A51" s="258" t="s">
        <v>141</v>
      </c>
      <c r="B51" s="278">
        <f>'Ind T6'!L18</f>
        <v>0.12747906197626596</v>
      </c>
      <c r="C51" s="275" t="str">
        <f>CONCATENATE("(",ROUND((B51/$H53)*100,1),")")</f>
        <v>(82.2)</v>
      </c>
      <c r="D51" s="278">
        <f>'Ind T6'!M18</f>
        <v>2.1419597990060472E-3</v>
      </c>
      <c r="E51" s="275" t="str">
        <f>CONCATENATE("(",ROUND((D51/$H53)*100,1),")")</f>
        <v>(1.4)</v>
      </c>
      <c r="F51" s="278">
        <f>'Ind T6'!N18</f>
        <v>0</v>
      </c>
      <c r="G51" s="275" t="str">
        <f>CONCATENATE("(",ROUND((F51/$H53)*100,1),")")</f>
        <v>(0)</v>
      </c>
      <c r="H51" s="278">
        <f>SUM(B51,D51,F51)</f>
        <v>0.12962102177527202</v>
      </c>
      <c r="I51" s="275" t="str">
        <f>CONCATENATE("(",ROUND((H51/$H53)*100,1),")")</f>
        <v>(83.6)</v>
      </c>
      <c r="K51" s="278">
        <f>B56-B51</f>
        <v>-3.7854131848153533E-2</v>
      </c>
      <c r="L51" s="278">
        <f>D56-D51</f>
        <v>-6.1876248207146209E-4</v>
      </c>
      <c r="M51" s="278">
        <f>F56-F51</f>
        <v>0</v>
      </c>
      <c r="N51" s="278">
        <f>SUM(K51:M51)</f>
        <v>-3.8472894330224994E-2</v>
      </c>
    </row>
    <row r="52" spans="1:14">
      <c r="A52" s="258" t="s">
        <v>142</v>
      </c>
      <c r="B52" s="278">
        <f>'Ind T6'!L17</f>
        <v>2.2003768844478837E-2</v>
      </c>
      <c r="C52" s="275" t="str">
        <f>CONCATENATE("(",ROUND((B52/$H53)*100,1),")")</f>
        <v>(14.2)</v>
      </c>
      <c r="D52" s="278">
        <f>'Ind T6'!M17</f>
        <v>3.3752093802494141E-3</v>
      </c>
      <c r="E52" s="275" t="str">
        <f>CONCATENATE("(",ROUND((D52/$H53)*100,1),")")</f>
        <v>(2.2)</v>
      </c>
      <c r="F52" s="278">
        <f>'Ind T6'!N17</f>
        <v>0</v>
      </c>
      <c r="G52" s="275" t="str">
        <f>CONCATENATE("(",ROUND((F52/$H53)*100,1),")")</f>
        <v>(0)</v>
      </c>
      <c r="H52" s="278">
        <f t="shared" ref="H52" si="51">SUM(B52,D52,F52)</f>
        <v>2.5378978224728253E-2</v>
      </c>
      <c r="I52" s="275" t="str">
        <f>CONCATENATE("(",ROUND((H52/$H53)*100,1),")")</f>
        <v>(16.4)</v>
      </c>
      <c r="K52" s="278">
        <f t="shared" ref="K52:K53" si="52">B57-B52</f>
        <v>-6.5890119966345688E-3</v>
      </c>
      <c r="L52" s="278">
        <f t="shared" ref="L52:L53" si="53">D57-D52</f>
        <v>-9.3809367314079883E-4</v>
      </c>
      <c r="M52" s="278">
        <f t="shared" ref="M52:M53" si="54">F57-F52</f>
        <v>0</v>
      </c>
      <c r="N52" s="278">
        <f t="shared" ref="N52:N53" si="55">SUM(K52:M52)</f>
        <v>-7.5271056697753681E-3</v>
      </c>
    </row>
    <row r="53" spans="1:14">
      <c r="A53" s="258" t="s">
        <v>143</v>
      </c>
      <c r="B53" s="278">
        <f>SUM(B51:B52)</f>
        <v>0.14948283082074479</v>
      </c>
      <c r="C53" s="275" t="str">
        <f>CONCATENATE("(",ROUND((B53/$H53)*100,1),")")</f>
        <v>(96.4)</v>
      </c>
      <c r="D53" s="278">
        <f>SUM(D51:D52)</f>
        <v>5.5171691792554618E-3</v>
      </c>
      <c r="E53" s="275" t="str">
        <f>CONCATENATE("(",ROUND((D53/$H53)*100,1),")")</f>
        <v>(3.6)</v>
      </c>
      <c r="F53" s="278">
        <f>SUM(F51:F52)</f>
        <v>0</v>
      </c>
      <c r="G53" s="275" t="str">
        <f>CONCATENATE("(",ROUND((F53/$H53)*100,1),")")</f>
        <v>(0)</v>
      </c>
      <c r="H53" s="278">
        <f>SUM(H51:H52)</f>
        <v>0.15500000000000028</v>
      </c>
      <c r="I53" s="275" t="str">
        <f>CONCATENATE("(",ROUND((H53/$H53)*100,1),")")</f>
        <v>(100)</v>
      </c>
      <c r="K53" s="278">
        <f t="shared" si="52"/>
        <v>-4.4443143844788091E-2</v>
      </c>
      <c r="L53" s="278">
        <f t="shared" si="53"/>
        <v>-1.5568561552122611E-3</v>
      </c>
      <c r="M53" s="278">
        <f t="shared" si="54"/>
        <v>0</v>
      </c>
      <c r="N53" s="278">
        <f t="shared" si="55"/>
        <v>-4.6000000000000353E-2</v>
      </c>
    </row>
    <row r="54" spans="1:14">
      <c r="B54" s="278"/>
      <c r="C54" s="260"/>
      <c r="D54" s="278"/>
      <c r="E54" s="260"/>
      <c r="F54" s="278"/>
      <c r="G54" s="260"/>
      <c r="H54" s="278"/>
      <c r="I54" s="260"/>
    </row>
    <row r="55" spans="1:14">
      <c r="A55" s="268">
        <f>$A$13</f>
        <v>2025</v>
      </c>
      <c r="B55" s="278"/>
      <c r="C55" s="260"/>
      <c r="D55" s="278"/>
      <c r="E55" s="260"/>
      <c r="F55" s="278"/>
      <c r="G55" s="260"/>
      <c r="H55" s="278"/>
      <c r="I55" s="260"/>
      <c r="K55" s="262" t="str">
        <f>CONCATENATE(A55," - ",A60)</f>
        <v>2025 - 2035</v>
      </c>
    </row>
    <row r="56" spans="1:14">
      <c r="A56" s="258" t="s">
        <v>141</v>
      </c>
      <c r="B56" s="278">
        <f>'Ind T6'!Q18</f>
        <v>8.9624930128112429E-2</v>
      </c>
      <c r="C56" s="275" t="str">
        <f>CONCATENATE("(",ROUND((B56/$H58)*100,1),")")</f>
        <v>(82.2)</v>
      </c>
      <c r="D56" s="278">
        <f>'Ind T6'!R18</f>
        <v>1.5231973169345851E-3</v>
      </c>
      <c r="E56" s="275" t="str">
        <f>CONCATENATE("(",ROUND((D56/$H58)*100,1),")")</f>
        <v>(1.4)</v>
      </c>
      <c r="F56" s="278">
        <f>'Ind T6'!S18</f>
        <v>0</v>
      </c>
      <c r="G56" s="275" t="str">
        <f>CONCATENATE("(",ROUND((F56/$H58)*100,1),")")</f>
        <v>(0)</v>
      </c>
      <c r="H56" s="278">
        <f>SUM(B56,D56,F56)</f>
        <v>9.1148127445047009E-2</v>
      </c>
      <c r="I56" s="275" t="str">
        <f>CONCATENATE("(",ROUND((H56/$H58)*100,1),")")</f>
        <v>(83.6)</v>
      </c>
      <c r="K56" s="278">
        <f>B61-B56</f>
        <v>-3.7716864213391661E-2</v>
      </c>
      <c r="L56" s="278">
        <f>D61-D56</f>
        <v>-5.396760680202845E-4</v>
      </c>
      <c r="M56" s="278">
        <f>F61-F56</f>
        <v>0</v>
      </c>
      <c r="N56" s="278">
        <f>SUM(K56:M56)</f>
        <v>-3.8256540281411948E-2</v>
      </c>
    </row>
    <row r="57" spans="1:14">
      <c r="A57" s="258" t="s">
        <v>142</v>
      </c>
      <c r="B57" s="278">
        <f>'Ind T6'!Q17</f>
        <v>1.5414756847844269E-2</v>
      </c>
      <c r="C57" s="275" t="str">
        <f>CONCATENATE("(",ROUND((B57/$H58)*100,1),")")</f>
        <v>(14.1)</v>
      </c>
      <c r="D57" s="278">
        <f>'Ind T6'!R17</f>
        <v>2.4371157071086153E-3</v>
      </c>
      <c r="E57" s="275" t="str">
        <f>CONCATENATE("(",ROUND((D57/$H58)*100,1),")")</f>
        <v>(2.2)</v>
      </c>
      <c r="F57" s="278">
        <f>'Ind T6'!S17</f>
        <v>0</v>
      </c>
      <c r="G57" s="275" t="str">
        <f>CONCATENATE("(",ROUND((F57/$H58)*100,1),")")</f>
        <v>(0)</v>
      </c>
      <c r="H57" s="278">
        <f t="shared" ref="H57" si="56">SUM(B57,D57,F57)</f>
        <v>1.7851872554952884E-2</v>
      </c>
      <c r="I57" s="275" t="str">
        <f>CONCATENATE("(",ROUND((H57/$H58)*100,1),")")</f>
        <v>(16.4)</v>
      </c>
      <c r="K57" s="278">
        <f t="shared" ref="K57:K58" si="57">B62-B57</f>
        <v>-6.7816258848579867E-3</v>
      </c>
      <c r="L57" s="278">
        <f t="shared" ref="L57:L58" si="58">D62-D57</f>
        <v>-9.6183383373001888E-4</v>
      </c>
      <c r="M57" s="278">
        <f t="shared" ref="M57:M58" si="59">F62-F57</f>
        <v>0</v>
      </c>
      <c r="N57" s="278">
        <f t="shared" ref="N57:N58" si="60">SUM(K57:M57)</f>
        <v>-7.7434597185880054E-3</v>
      </c>
    </row>
    <row r="58" spans="1:14">
      <c r="A58" s="258" t="s">
        <v>143</v>
      </c>
      <c r="B58" s="278">
        <f>SUM(B56:B57)</f>
        <v>0.1050396869759567</v>
      </c>
      <c r="C58" s="275" t="str">
        <f>CONCATENATE("(",ROUND((B58/$H58)*100,1),")")</f>
        <v>(96.4)</v>
      </c>
      <c r="D58" s="278">
        <f>SUM(D56:D57)</f>
        <v>3.9603130240432006E-3</v>
      </c>
      <c r="E58" s="275" t="str">
        <f>CONCATENATE("(",ROUND((D58/$H58)*100,1),")")</f>
        <v>(3.6)</v>
      </c>
      <c r="F58" s="278">
        <f>SUM(F56:F57)</f>
        <v>0</v>
      </c>
      <c r="G58" s="275" t="str">
        <f>CONCATENATE("(",ROUND((F58/$H58)*100,1),")")</f>
        <v>(0)</v>
      </c>
      <c r="H58" s="278">
        <f>SUM(H56:H57)</f>
        <v>0.10899999999999989</v>
      </c>
      <c r="I58" s="275" t="str">
        <f>CONCATENATE("(",ROUND((H58/$H58)*100,1),")")</f>
        <v>(100)</v>
      </c>
      <c r="K58" s="278">
        <f t="shared" si="57"/>
        <v>-4.4498490098249646E-2</v>
      </c>
      <c r="L58" s="278">
        <f t="shared" si="58"/>
        <v>-1.5015099017503036E-3</v>
      </c>
      <c r="M58" s="278">
        <f t="shared" si="59"/>
        <v>0</v>
      </c>
      <c r="N58" s="278">
        <f t="shared" si="60"/>
        <v>-4.5999999999999951E-2</v>
      </c>
    </row>
    <row r="59" spans="1:14">
      <c r="B59" s="278"/>
      <c r="C59" s="260"/>
      <c r="D59" s="278"/>
      <c r="E59" s="260"/>
      <c r="F59" s="278"/>
      <c r="G59" s="260"/>
      <c r="H59" s="278"/>
      <c r="I59" s="260"/>
    </row>
    <row r="60" spans="1:14">
      <c r="A60" s="268">
        <f>$A$18</f>
        <v>2035</v>
      </c>
      <c r="B60" s="278"/>
      <c r="C60" s="260"/>
      <c r="D60" s="278"/>
      <c r="E60" s="260"/>
      <c r="F60" s="278"/>
      <c r="G60" s="260"/>
      <c r="H60" s="278"/>
      <c r="I60" s="260"/>
      <c r="K60" s="262" t="str">
        <f>CONCATENATE(A50," - ",A60)</f>
        <v>2020 - 2035</v>
      </c>
    </row>
    <row r="61" spans="1:14">
      <c r="A61" s="258" t="s">
        <v>141</v>
      </c>
      <c r="B61" s="278">
        <f>'Ind T6'!V18</f>
        <v>5.1908065914720768E-2</v>
      </c>
      <c r="C61" s="275" t="str">
        <f>CONCATENATE("(",ROUND((B61/$H63)*100,1),")")</f>
        <v>(82.4)</v>
      </c>
      <c r="D61" s="278">
        <f>'Ind T6'!W18</f>
        <v>9.8352124891430063E-4</v>
      </c>
      <c r="E61" s="275" t="str">
        <f>CONCATENATE("(",ROUND((D61/$H63)*100,1),")")</f>
        <v>(1.6)</v>
      </c>
      <c r="F61" s="278">
        <f>'Ind T6'!X18</f>
        <v>0</v>
      </c>
      <c r="G61" s="275" t="str">
        <f>CONCATENATE("(",ROUND((F61/$H63)*100,1),")")</f>
        <v>(0)</v>
      </c>
      <c r="H61" s="278">
        <f>SUM(B61,D61,F61)</f>
        <v>5.2891587163635068E-2</v>
      </c>
      <c r="I61" s="275" t="str">
        <f>CONCATENATE("(",ROUND((H61/$H63)*100,1),")")</f>
        <v>(84)</v>
      </c>
      <c r="K61" s="278">
        <f>B61-B51</f>
        <v>-7.5570996061545187E-2</v>
      </c>
      <c r="L61" s="278">
        <f>D61-D51</f>
        <v>-1.1584385500917466E-3</v>
      </c>
      <c r="M61" s="278">
        <f>F61-F51</f>
        <v>0</v>
      </c>
      <c r="N61" s="278">
        <f>SUM(K61:M61)</f>
        <v>-7.6729434611636935E-2</v>
      </c>
    </row>
    <row r="62" spans="1:14">
      <c r="A62" s="258" t="s">
        <v>142</v>
      </c>
      <c r="B62" s="278">
        <f>'Ind T6'!V17</f>
        <v>8.633130962986282E-3</v>
      </c>
      <c r="C62" s="275" t="str">
        <f>CONCATENATE("(",ROUND((B62/$H63)*100,1),")")</f>
        <v>(13.7)</v>
      </c>
      <c r="D62" s="278">
        <f>'Ind T6'!W17</f>
        <v>1.4752818733785964E-3</v>
      </c>
      <c r="E62" s="275" t="str">
        <f>CONCATENATE("(",ROUND((D62/$H63)*100,1),")")</f>
        <v>(2.3)</v>
      </c>
      <c r="F62" s="278">
        <f>'Ind T6'!X17</f>
        <v>0</v>
      </c>
      <c r="G62" s="275" t="str">
        <f>CONCATENATE("(",ROUND((F62/$H63)*100,1),")")</f>
        <v>(0)</v>
      </c>
      <c r="H62" s="278">
        <f t="shared" ref="H62" si="61">SUM(B62,D62,F62)</f>
        <v>1.0108412836364879E-2</v>
      </c>
      <c r="I62" s="275" t="str">
        <f>CONCATENATE("(",ROUND((H62/$H63)*100,1),")")</f>
        <v>(16)</v>
      </c>
      <c r="K62" s="278">
        <f t="shared" ref="K62:K63" si="62">B62-B52</f>
        <v>-1.3370637881492555E-2</v>
      </c>
      <c r="L62" s="278">
        <f t="shared" ref="L62:L63" si="63">D62-D52</f>
        <v>-1.8999275068708177E-3</v>
      </c>
      <c r="M62" s="278">
        <f t="shared" ref="M62:M63" si="64">F62-F52</f>
        <v>0</v>
      </c>
      <c r="N62" s="278">
        <f t="shared" ref="N62:N63" si="65">SUM(K62:M62)</f>
        <v>-1.5270565388363373E-2</v>
      </c>
    </row>
    <row r="63" spans="1:14">
      <c r="A63" s="258" t="s">
        <v>143</v>
      </c>
      <c r="B63" s="278">
        <f>SUM(B61:B62)</f>
        <v>6.0541196877707051E-2</v>
      </c>
      <c r="C63" s="275" t="str">
        <f>CONCATENATE("(",ROUND((B63/$H63)*100,1),")")</f>
        <v>(96.1)</v>
      </c>
      <c r="D63" s="278">
        <f>SUM(D61:D62)</f>
        <v>2.458803122292897E-3</v>
      </c>
      <c r="E63" s="275" t="str">
        <f>CONCATENATE("(",ROUND((D63/$H63)*100,1),")")</f>
        <v>(3.9)</v>
      </c>
      <c r="F63" s="278">
        <f>SUM(F61:F62)</f>
        <v>0</v>
      </c>
      <c r="G63" s="275" t="str">
        <f>CONCATENATE("(",ROUND((F63/$H63)*100,1),")")</f>
        <v>(0)</v>
      </c>
      <c r="H63" s="278">
        <f>SUM(H61:H62)</f>
        <v>6.2999999999999945E-2</v>
      </c>
      <c r="I63" s="275" t="str">
        <f>CONCATENATE("(",ROUND((H63/$H63)*100,1),")")</f>
        <v>(100)</v>
      </c>
      <c r="K63" s="278">
        <f t="shared" si="62"/>
        <v>-8.8941633943037737E-2</v>
      </c>
      <c r="L63" s="278">
        <f t="shared" si="63"/>
        <v>-3.0583660569625647E-3</v>
      </c>
      <c r="M63" s="278">
        <f t="shared" si="64"/>
        <v>0</v>
      </c>
      <c r="N63" s="278">
        <f t="shared" si="65"/>
        <v>-9.2000000000000304E-2</v>
      </c>
    </row>
    <row r="64" spans="1:14">
      <c r="A64" s="269"/>
      <c r="B64" s="270"/>
      <c r="C64" s="269"/>
      <c r="D64" s="270"/>
      <c r="E64" s="269"/>
      <c r="F64" s="270"/>
      <c r="G64" s="269"/>
      <c r="H64" s="270"/>
      <c r="I64" s="269"/>
      <c r="J64" s="269"/>
      <c r="K64" s="270"/>
      <c r="L64" s="270"/>
      <c r="M64" s="270"/>
      <c r="N64" s="270"/>
    </row>
    <row r="68" spans="1:14">
      <c r="A68" s="264"/>
      <c r="B68" s="265" t="s">
        <v>130</v>
      </c>
      <c r="C68" s="264"/>
      <c r="D68" s="265"/>
      <c r="E68" s="264"/>
      <c r="F68" s="265" t="str">
        <f>name!B6</f>
        <v>Food drink and tobacco</v>
      </c>
      <c r="G68" s="264"/>
      <c r="H68" s="267"/>
      <c r="I68" s="264"/>
      <c r="J68" s="266"/>
      <c r="K68" s="267"/>
      <c r="L68" s="267"/>
      <c r="M68" s="267"/>
      <c r="N68" s="267"/>
    </row>
    <row r="69" spans="1:14">
      <c r="N69" s="263" t="s">
        <v>131</v>
      </c>
    </row>
    <row r="70" spans="1:14">
      <c r="A70" s="159" t="s">
        <v>132</v>
      </c>
      <c r="B70" s="344" t="s">
        <v>133</v>
      </c>
      <c r="C70" s="344"/>
      <c r="D70" s="344" t="s">
        <v>134</v>
      </c>
      <c r="E70" s="344"/>
      <c r="F70" s="344" t="s">
        <v>135</v>
      </c>
      <c r="G70" s="344"/>
      <c r="H70" s="344" t="s">
        <v>117</v>
      </c>
      <c r="I70" s="344"/>
      <c r="J70" s="159"/>
      <c r="K70" s="273" t="s">
        <v>136</v>
      </c>
      <c r="L70" s="273" t="s">
        <v>137</v>
      </c>
      <c r="M70" s="273" t="s">
        <v>138</v>
      </c>
      <c r="N70" s="273" t="s">
        <v>117</v>
      </c>
    </row>
    <row r="71" spans="1:14">
      <c r="A71" s="268">
        <f>$A$8</f>
        <v>2020</v>
      </c>
      <c r="B71" s="263" t="s">
        <v>139</v>
      </c>
      <c r="C71" s="19" t="s">
        <v>140</v>
      </c>
      <c r="D71" s="263" t="s">
        <v>139</v>
      </c>
      <c r="E71" s="19" t="s">
        <v>140</v>
      </c>
      <c r="F71" s="263" t="s">
        <v>139</v>
      </c>
      <c r="G71" s="19" t="s">
        <v>140</v>
      </c>
      <c r="H71" s="263" t="s">
        <v>139</v>
      </c>
      <c r="I71" s="19" t="s">
        <v>140</v>
      </c>
      <c r="J71" s="159"/>
      <c r="K71" s="262" t="str">
        <f>CONCATENATE(A71," - ",A76)</f>
        <v>2020 - 2025</v>
      </c>
      <c r="L71" s="261"/>
      <c r="M71" s="261"/>
    </row>
    <row r="72" spans="1:14">
      <c r="A72" s="258" t="s">
        <v>141</v>
      </c>
      <c r="B72" s="278">
        <f>'Ind T6'!L27</f>
        <v>3.7305585875622804</v>
      </c>
      <c r="C72" s="275" t="str">
        <f>CONCATENATE("(",ROUND((B72/$H74)*100,1),")")</f>
        <v>(59.2)</v>
      </c>
      <c r="D72" s="278">
        <f>'Ind T6'!M27</f>
        <v>0.34827642443046219</v>
      </c>
      <c r="E72" s="275" t="str">
        <f>CONCATENATE("(",ROUND((D72/$H74)*100,1),")")</f>
        <v>(5.5)</v>
      </c>
      <c r="F72" s="278">
        <f>'Ind T6'!N27</f>
        <v>6.4345406102791172E-2</v>
      </c>
      <c r="G72" s="275" t="str">
        <f>CONCATENATE("(",ROUND((F72/$H74)*100,1),")")</f>
        <v>(1)</v>
      </c>
      <c r="H72" s="278">
        <f>SUM(B72,D72,F72)</f>
        <v>4.1431804180955334</v>
      </c>
      <c r="I72" s="275" t="str">
        <f>CONCATENATE("(",ROUND((H72/$H74)*100,1),")")</f>
        <v>(65.8)</v>
      </c>
      <c r="K72" s="278">
        <f>B77-B72</f>
        <v>-3.1539518149227508E-2</v>
      </c>
      <c r="L72" s="278">
        <f>D77-D72</f>
        <v>9.5481813297737528E-4</v>
      </c>
      <c r="M72" s="278">
        <f>F77-F72</f>
        <v>5.7224983333493962E-4</v>
      </c>
      <c r="N72" s="278">
        <f>SUM(K72:M72)</f>
        <v>-3.0012450182915193E-2</v>
      </c>
    </row>
    <row r="73" spans="1:14">
      <c r="A73" s="258" t="s">
        <v>142</v>
      </c>
      <c r="B73" s="278">
        <f>'Ind T6'!L26</f>
        <v>1.6462467939333201</v>
      </c>
      <c r="C73" s="275" t="str">
        <f>CONCATENATE("(",ROUND((B73/$H74)*100,1),")")</f>
        <v>(26.1)</v>
      </c>
      <c r="D73" s="278">
        <f>'Ind T6'!M26</f>
        <v>0.40450951573279742</v>
      </c>
      <c r="E73" s="275" t="str">
        <f>CONCATENATE("(",ROUND((D73/$H74)*100,1),")")</f>
        <v>(6.4)</v>
      </c>
      <c r="F73" s="278">
        <f>'Ind T6'!N26</f>
        <v>0.10306327223834941</v>
      </c>
      <c r="G73" s="275" t="str">
        <f>CONCATENATE("(",ROUND((F73/$H74)*100,1),")")</f>
        <v>(1.6)</v>
      </c>
      <c r="H73" s="278">
        <f t="shared" ref="H73" si="66">SUM(B73,D73,F73)</f>
        <v>2.1538195819044668</v>
      </c>
      <c r="I73" s="275" t="str">
        <f>CONCATENATE("(",ROUND((H73/$H74)*100,1),")")</f>
        <v>(34.2)</v>
      </c>
      <c r="K73" s="278">
        <f t="shared" ref="K73:K74" si="67">B78-B73</f>
        <v>6.5703515215095321E-2</v>
      </c>
      <c r="L73" s="278">
        <f t="shared" ref="L73:L74" si="68">D78-D73</f>
        <v>2.6034466830454628E-4</v>
      </c>
      <c r="M73" s="278">
        <f t="shared" ref="M73:M74" si="69">F78-F73</f>
        <v>3.0485902995231184E-3</v>
      </c>
      <c r="N73" s="278">
        <f t="shared" ref="N73:N74" si="70">SUM(K73:M73)</f>
        <v>6.9012450182922985E-2</v>
      </c>
    </row>
    <row r="74" spans="1:14">
      <c r="A74" s="258" t="s">
        <v>143</v>
      </c>
      <c r="B74" s="278">
        <f>SUM(B72:B73)</f>
        <v>5.3768053814956005</v>
      </c>
      <c r="C74" s="275" t="str">
        <f>CONCATENATE("(",ROUND((B74/$H74)*100,1),")")</f>
        <v>(85.4)</v>
      </c>
      <c r="D74" s="278">
        <f>SUM(D72:D73)</f>
        <v>0.75278594016325961</v>
      </c>
      <c r="E74" s="275" t="str">
        <f>CONCATENATE("(",ROUND((D74/$H74)*100,1),")")</f>
        <v>(12)</v>
      </c>
      <c r="F74" s="278">
        <f>SUM(F72:F73)</f>
        <v>0.16740867834114059</v>
      </c>
      <c r="G74" s="275" t="str">
        <f>CONCATENATE("(",ROUND((F74/$H74)*100,1),")")</f>
        <v>(2.7)</v>
      </c>
      <c r="H74" s="278">
        <f>SUM(H72:H73)</f>
        <v>6.2970000000000006</v>
      </c>
      <c r="I74" s="275" t="str">
        <f>CONCATENATE("(",ROUND((H74/$H74)*100,1),")")</f>
        <v>(100)</v>
      </c>
      <c r="K74" s="278">
        <f t="shared" si="67"/>
        <v>3.4163997065867591E-2</v>
      </c>
      <c r="L74" s="278">
        <f t="shared" si="68"/>
        <v>1.215162801281866E-3</v>
      </c>
      <c r="M74" s="278">
        <f t="shared" si="69"/>
        <v>3.6208401328580442E-3</v>
      </c>
      <c r="N74" s="278">
        <f t="shared" si="70"/>
        <v>3.9000000000007501E-2</v>
      </c>
    </row>
    <row r="75" spans="1:14">
      <c r="B75" s="278"/>
      <c r="C75" s="260"/>
      <c r="D75" s="278"/>
      <c r="E75" s="260"/>
      <c r="F75" s="278"/>
      <c r="G75" s="260"/>
      <c r="H75" s="278"/>
      <c r="I75" s="260"/>
    </row>
    <row r="76" spans="1:14">
      <c r="A76" s="268">
        <f>$A$13</f>
        <v>2025</v>
      </c>
      <c r="B76" s="278"/>
      <c r="C76" s="260"/>
      <c r="D76" s="278"/>
      <c r="E76" s="260"/>
      <c r="F76" s="278"/>
      <c r="G76" s="260"/>
      <c r="H76" s="278"/>
      <c r="I76" s="260"/>
      <c r="K76" s="262" t="str">
        <f>CONCATENATE(A76," - ",A81)</f>
        <v>2025 - 2035</v>
      </c>
    </row>
    <row r="77" spans="1:14">
      <c r="A77" s="258" t="s">
        <v>141</v>
      </c>
      <c r="B77" s="278">
        <f>'Ind T6'!Q27</f>
        <v>3.6990190694130529</v>
      </c>
      <c r="C77" s="275" t="str">
        <f>CONCATENATE("(",ROUND((B77/$H79)*100,1),")")</f>
        <v>(58.4)</v>
      </c>
      <c r="D77" s="278">
        <f>'Ind T6'!R27</f>
        <v>0.34923124256343957</v>
      </c>
      <c r="E77" s="275" t="str">
        <f>CONCATENATE("(",ROUND((D77/$H79)*100,1),")")</f>
        <v>(5.5)</v>
      </c>
      <c r="F77" s="278">
        <f>'Ind T6'!S27</f>
        <v>6.4917655936126112E-2</v>
      </c>
      <c r="G77" s="275" t="str">
        <f>CONCATENATE("(",ROUND((F77/$H79)*100,1),")")</f>
        <v>(1)</v>
      </c>
      <c r="H77" s="278">
        <f>SUM(B77,D77,F77)</f>
        <v>4.1131679679126183</v>
      </c>
      <c r="I77" s="275" t="str">
        <f>CONCATENATE("(",ROUND((H77/$H79)*100,1),")")</f>
        <v>(64.9)</v>
      </c>
      <c r="K77" s="278">
        <f>B82-B77</f>
        <v>-0.18648346519215409</v>
      </c>
      <c r="L77" s="278">
        <f>D82-D77</f>
        <v>-1.0323475718049757E-2</v>
      </c>
      <c r="M77" s="278">
        <f>F82-F77</f>
        <v>4.206519253635993E-4</v>
      </c>
      <c r="N77" s="278">
        <f>SUM(K77:M77)</f>
        <v>-0.19638628898484023</v>
      </c>
    </row>
    <row r="78" spans="1:14">
      <c r="A78" s="258" t="s">
        <v>142</v>
      </c>
      <c r="B78" s="278">
        <f>'Ind T6'!Q26</f>
        <v>1.7119503091484154</v>
      </c>
      <c r="C78" s="275" t="str">
        <f>CONCATENATE("(",ROUND((B78/$H79)*100,1),")")</f>
        <v>(27)</v>
      </c>
      <c r="D78" s="278">
        <f>'Ind T6'!R26</f>
        <v>0.40476986040110197</v>
      </c>
      <c r="E78" s="275" t="str">
        <f>CONCATENATE("(",ROUND((D78/$H79)*100,1),")")</f>
        <v>(6.4)</v>
      </c>
      <c r="F78" s="278">
        <f>'Ind T6'!S26</f>
        <v>0.10611186253787253</v>
      </c>
      <c r="G78" s="275" t="str">
        <f>CONCATENATE("(",ROUND((F78/$H79)*100,1),")")</f>
        <v>(1.7)</v>
      </c>
      <c r="H78" s="278">
        <f t="shared" ref="H78" si="71">SUM(B78,D78,F78)</f>
        <v>2.22283203208739</v>
      </c>
      <c r="I78" s="275" t="str">
        <f>CONCATENATE("(",ROUND((H78/$H79)*100,1),")")</f>
        <v>(35.1)</v>
      </c>
      <c r="K78" s="278">
        <f t="shared" ref="K78:K79" si="72">B83-B78</f>
        <v>6.2919475859260166E-2</v>
      </c>
      <c r="L78" s="278">
        <f t="shared" ref="L78:L79" si="73">D83-D78</f>
        <v>-1.4776051135941604E-2</v>
      </c>
      <c r="M78" s="278">
        <f t="shared" ref="M78:M79" si="74">F83-F78</f>
        <v>1.2428642614950303E-3</v>
      </c>
      <c r="N78" s="278">
        <f t="shared" ref="N78:N79" si="75">SUM(K78:M78)</f>
        <v>4.9386288984813592E-2</v>
      </c>
    </row>
    <row r="79" spans="1:14">
      <c r="A79" s="258" t="s">
        <v>143</v>
      </c>
      <c r="B79" s="278">
        <f>SUM(B77:B78)</f>
        <v>5.4109693785614681</v>
      </c>
      <c r="C79" s="275" t="str">
        <f>CONCATENATE("(",ROUND((B79/$H79)*100,1),")")</f>
        <v>(85.4)</v>
      </c>
      <c r="D79" s="278">
        <f>SUM(D77:D78)</f>
        <v>0.75400110296454148</v>
      </c>
      <c r="E79" s="275" t="str">
        <f>CONCATENATE("(",ROUND((D79/$H79)*100,1),")")</f>
        <v>(11.9)</v>
      </c>
      <c r="F79" s="278">
        <f>SUM(F77:F78)</f>
        <v>0.17102951847399864</v>
      </c>
      <c r="G79" s="275" t="str">
        <f>CONCATENATE("(",ROUND((F79/$H79)*100,1),")")</f>
        <v>(2.7)</v>
      </c>
      <c r="H79" s="278">
        <f>SUM(H77:H78)</f>
        <v>6.3360000000000083</v>
      </c>
      <c r="I79" s="275" t="str">
        <f>CONCATENATE("(",ROUND((H79/$H79)*100,1),")")</f>
        <v>(100)</v>
      </c>
      <c r="K79" s="278">
        <f t="shared" si="72"/>
        <v>-0.1235639893328937</v>
      </c>
      <c r="L79" s="278">
        <f t="shared" si="73"/>
        <v>-2.5099526853991305E-2</v>
      </c>
      <c r="M79" s="278">
        <f t="shared" si="74"/>
        <v>1.6635161868586434E-3</v>
      </c>
      <c r="N79" s="278">
        <f t="shared" si="75"/>
        <v>-0.14700000000002636</v>
      </c>
    </row>
    <row r="80" spans="1:14">
      <c r="B80" s="278"/>
      <c r="C80" s="260"/>
      <c r="D80" s="278"/>
      <c r="E80" s="260"/>
      <c r="F80" s="278"/>
      <c r="G80" s="260"/>
      <c r="H80" s="278"/>
      <c r="I80" s="260"/>
    </row>
    <row r="81" spans="1:14">
      <c r="A81" s="268">
        <f>$A$18</f>
        <v>2035</v>
      </c>
      <c r="B81" s="278"/>
      <c r="C81" s="260"/>
      <c r="D81" s="278"/>
      <c r="E81" s="260"/>
      <c r="F81" s="278"/>
      <c r="G81" s="260"/>
      <c r="H81" s="278"/>
      <c r="I81" s="260"/>
      <c r="K81" s="262" t="str">
        <f>CONCATENATE(A71," - ",A81)</f>
        <v>2020 - 2035</v>
      </c>
    </row>
    <row r="82" spans="1:14">
      <c r="A82" s="258" t="s">
        <v>141</v>
      </c>
      <c r="B82" s="278">
        <f>'Ind T6'!V27</f>
        <v>3.5125356042208988</v>
      </c>
      <c r="C82" s="275" t="str">
        <f>CONCATENATE("(",ROUND((B82/$H84)*100,1),")")</f>
        <v>(56.8)</v>
      </c>
      <c r="D82" s="278">
        <f>'Ind T6'!W27</f>
        <v>0.33890776684538981</v>
      </c>
      <c r="E82" s="275" t="str">
        <f>CONCATENATE("(",ROUND((D82/$H84)*100,1),")")</f>
        <v>(5.5)</v>
      </c>
      <c r="F82" s="278">
        <f>'Ind T6'!X27</f>
        <v>6.5338307861489711E-2</v>
      </c>
      <c r="G82" s="275" t="str">
        <f>CONCATENATE("(",ROUND((F82/$H84)*100,1),")")</f>
        <v>(1.1)</v>
      </c>
      <c r="H82" s="278">
        <f>SUM(B82,D82,F82)</f>
        <v>3.9167816789277783</v>
      </c>
      <c r="I82" s="275" t="str">
        <f>CONCATENATE("(",ROUND((H82/$H84)*100,1),")")</f>
        <v>(63.3)</v>
      </c>
      <c r="K82" s="278">
        <f>B82-B72</f>
        <v>-0.21802298334138159</v>
      </c>
      <c r="L82" s="278">
        <f>D82-D72</f>
        <v>-9.3686575850723819E-3</v>
      </c>
      <c r="M82" s="278">
        <f>F82-F72</f>
        <v>9.9290175869853892E-4</v>
      </c>
      <c r="N82" s="278">
        <f>SUM(K82:M82)</f>
        <v>-0.22639873916775544</v>
      </c>
    </row>
    <row r="83" spans="1:14">
      <c r="A83" s="258" t="s">
        <v>142</v>
      </c>
      <c r="B83" s="278">
        <f>'Ind T6'!V26</f>
        <v>1.7748697850076756</v>
      </c>
      <c r="C83" s="275" t="str">
        <f>CONCATENATE("(",ROUND((B83/$H84)*100,1),")")</f>
        <v>(28.7)</v>
      </c>
      <c r="D83" s="278">
        <f>'Ind T6'!W26</f>
        <v>0.38999380926516036</v>
      </c>
      <c r="E83" s="275" t="str">
        <f>CONCATENATE("(",ROUND((D83/$H84)*100,1),")")</f>
        <v>(6.3)</v>
      </c>
      <c r="F83" s="278">
        <f>'Ind T6'!X26</f>
        <v>0.10735472679936756</v>
      </c>
      <c r="G83" s="275" t="str">
        <f>CONCATENATE("(",ROUND((F83/$H84)*100,1),")")</f>
        <v>(1.7)</v>
      </c>
      <c r="H83" s="278">
        <f t="shared" ref="H83" si="76">SUM(B83,D83,F83)</f>
        <v>2.2722183210722036</v>
      </c>
      <c r="I83" s="275" t="str">
        <f>CONCATENATE("(",ROUND((H83/$H84)*100,1),")")</f>
        <v>(36.7)</v>
      </c>
      <c r="K83" s="278">
        <f t="shared" ref="K83:K84" si="77">B83-B73</f>
        <v>0.12862299107435549</v>
      </c>
      <c r="L83" s="278">
        <f t="shared" ref="L83:L84" si="78">D83-D73</f>
        <v>-1.4515706467637057E-2</v>
      </c>
      <c r="M83" s="278">
        <f t="shared" ref="M83:M84" si="79">F83-F73</f>
        <v>4.2914545610181487E-3</v>
      </c>
      <c r="N83" s="278">
        <f t="shared" ref="N83:N84" si="80">SUM(K83:M83)</f>
        <v>0.11839873916773658</v>
      </c>
    </row>
    <row r="84" spans="1:14">
      <c r="A84" s="258" t="s">
        <v>143</v>
      </c>
      <c r="B84" s="278">
        <f>SUM(B82:B83)</f>
        <v>5.2874053892285744</v>
      </c>
      <c r="C84" s="275" t="str">
        <f>CONCATENATE("(",ROUND((B84/$H84)*100,1),")")</f>
        <v>(85.4)</v>
      </c>
      <c r="D84" s="278">
        <f>SUM(D82:D83)</f>
        <v>0.72890157611055018</v>
      </c>
      <c r="E84" s="275" t="str">
        <f>CONCATENATE("(",ROUND((D84/$H84)*100,1),")")</f>
        <v>(11.8)</v>
      </c>
      <c r="F84" s="278">
        <f>SUM(F82:F83)</f>
        <v>0.17269303466085728</v>
      </c>
      <c r="G84" s="275" t="str">
        <f>CONCATENATE("(",ROUND((F84/$H84)*100,1),")")</f>
        <v>(2.8)</v>
      </c>
      <c r="H84" s="278">
        <f>SUM(H82:H83)</f>
        <v>6.1889999999999823</v>
      </c>
      <c r="I84" s="275" t="str">
        <f>CONCATENATE("(",ROUND((H84/$H84)*100,1),")")</f>
        <v>(100)</v>
      </c>
      <c r="K84" s="278">
        <f t="shared" si="77"/>
        <v>-8.9399992267026107E-2</v>
      </c>
      <c r="L84" s="278">
        <f t="shared" si="78"/>
        <v>-2.3884364052709439E-2</v>
      </c>
      <c r="M84" s="278">
        <f t="shared" si="79"/>
        <v>5.2843563197166876E-3</v>
      </c>
      <c r="N84" s="278">
        <f t="shared" si="80"/>
        <v>-0.10800000000001886</v>
      </c>
    </row>
    <row r="85" spans="1:14">
      <c r="A85" s="269"/>
      <c r="B85" s="270"/>
      <c r="C85" s="269"/>
      <c r="D85" s="270"/>
      <c r="E85" s="269"/>
      <c r="F85" s="270"/>
      <c r="G85" s="269"/>
      <c r="H85" s="270"/>
      <c r="I85" s="269"/>
      <c r="J85" s="269"/>
      <c r="K85" s="270"/>
      <c r="L85" s="270"/>
      <c r="M85" s="270"/>
      <c r="N85" s="270"/>
    </row>
    <row r="89" spans="1:14">
      <c r="A89" s="264"/>
      <c r="B89" s="265" t="s">
        <v>130</v>
      </c>
      <c r="C89" s="264"/>
      <c r="D89" s="265"/>
      <c r="E89" s="264"/>
      <c r="F89" s="265" t="str">
        <f>name!B7</f>
        <v>Engineering</v>
      </c>
      <c r="G89" s="264"/>
      <c r="H89" s="267"/>
      <c r="I89" s="264"/>
      <c r="J89" s="266"/>
      <c r="K89" s="267"/>
      <c r="L89" s="267"/>
      <c r="M89" s="267"/>
      <c r="N89" s="267"/>
    </row>
    <row r="90" spans="1:14">
      <c r="N90" s="263" t="s">
        <v>131</v>
      </c>
    </row>
    <row r="91" spans="1:14">
      <c r="A91" s="159" t="s">
        <v>132</v>
      </c>
      <c r="B91" s="344" t="s">
        <v>133</v>
      </c>
      <c r="C91" s="344"/>
      <c r="D91" s="344" t="s">
        <v>134</v>
      </c>
      <c r="E91" s="344"/>
      <c r="F91" s="344" t="s">
        <v>135</v>
      </c>
      <c r="G91" s="344"/>
      <c r="H91" s="344" t="s">
        <v>117</v>
      </c>
      <c r="I91" s="344"/>
      <c r="J91" s="159"/>
      <c r="K91" s="273" t="s">
        <v>136</v>
      </c>
      <c r="L91" s="273" t="s">
        <v>137</v>
      </c>
      <c r="M91" s="273" t="s">
        <v>138</v>
      </c>
      <c r="N91" s="273" t="s">
        <v>117</v>
      </c>
    </row>
    <row r="92" spans="1:14">
      <c r="A92" s="268">
        <f>$A$8</f>
        <v>2020</v>
      </c>
      <c r="B92" s="263" t="s">
        <v>139</v>
      </c>
      <c r="C92" s="19" t="s">
        <v>140</v>
      </c>
      <c r="D92" s="263" t="s">
        <v>139</v>
      </c>
      <c r="E92" s="19" t="s">
        <v>140</v>
      </c>
      <c r="F92" s="263" t="s">
        <v>139</v>
      </c>
      <c r="G92" s="19" t="s">
        <v>140</v>
      </c>
      <c r="H92" s="263" t="s">
        <v>139</v>
      </c>
      <c r="I92" s="19" t="s">
        <v>140</v>
      </c>
      <c r="J92" s="159"/>
      <c r="K92" s="262" t="str">
        <f>CONCATENATE(A92," - ",A97)</f>
        <v>2020 - 2025</v>
      </c>
      <c r="L92" s="261"/>
      <c r="M92" s="261"/>
    </row>
    <row r="93" spans="1:14">
      <c r="A93" s="258" t="s">
        <v>141</v>
      </c>
      <c r="B93" s="278">
        <f>'Ind T6'!L36</f>
        <v>5.2916351075308716</v>
      </c>
      <c r="C93" s="275" t="str">
        <f>CONCATENATE("(",ROUND((B93/$H95)*100,1),")")</f>
        <v>(71.4)</v>
      </c>
      <c r="D93" s="278">
        <f>'Ind T6'!M36</f>
        <v>0.20197702260520581</v>
      </c>
      <c r="E93" s="275" t="str">
        <f>CONCATENATE("(",ROUND((D93/$H95)*100,1),")")</f>
        <v>(2.7)</v>
      </c>
      <c r="F93" s="278">
        <f>'Ind T6'!N36</f>
        <v>0.19888221338614046</v>
      </c>
      <c r="G93" s="275" t="str">
        <f>CONCATENATE("(",ROUND((F93/$H95)*100,1),")")</f>
        <v>(2.7)</v>
      </c>
      <c r="H93" s="278">
        <f>SUM(B93,D93,F93)</f>
        <v>5.6924943435222177</v>
      </c>
      <c r="I93" s="275" t="str">
        <f>CONCATENATE("(",ROUND((H93/$H95)*100,1),")")</f>
        <v>(76.8)</v>
      </c>
      <c r="K93" s="278">
        <f>B98-B93</f>
        <v>0.32048238405854779</v>
      </c>
      <c r="L93" s="278">
        <f>D98-D93</f>
        <v>2.1612041325832748E-2</v>
      </c>
      <c r="M93" s="278">
        <f>F98-F93</f>
        <v>1.5910428137642624E-2</v>
      </c>
      <c r="N93" s="278">
        <f>SUM(K93:M93)</f>
        <v>0.35800485352202316</v>
      </c>
    </row>
    <row r="94" spans="1:14">
      <c r="A94" s="258" t="s">
        <v>142</v>
      </c>
      <c r="B94" s="278">
        <f>'Ind T6'!L35</f>
        <v>1.2864633262276473</v>
      </c>
      <c r="C94" s="275" t="str">
        <f>CONCATENATE("(",ROUND((B94/$H95)*100,1),")")</f>
        <v>(17.3)</v>
      </c>
      <c r="D94" s="278">
        <f>'Ind T6'!M35</f>
        <v>0.32951573929691375</v>
      </c>
      <c r="E94" s="275" t="str">
        <f>CONCATENATE("(",ROUND((D94/$H95)*100,1),")")</f>
        <v>(4.4)</v>
      </c>
      <c r="F94" s="278">
        <f>'Ind T6'!N35</f>
        <v>0.1065265909532092</v>
      </c>
      <c r="G94" s="275" t="str">
        <f>CONCATENATE("(",ROUND((F94/$H95)*100,1),")")</f>
        <v>(1.4)</v>
      </c>
      <c r="H94" s="278">
        <f t="shared" ref="H94" si="81">SUM(B94,D94,F94)</f>
        <v>1.7225056564777701</v>
      </c>
      <c r="I94" s="275" t="str">
        <f>CONCATENATE("(",ROUND((H94/$H95)*100,1),")")</f>
        <v>(23.2)</v>
      </c>
      <c r="K94" s="278">
        <f t="shared" ref="K94:K95" si="82">B99-B94</f>
        <v>6.9785073030183886E-2</v>
      </c>
      <c r="L94" s="278">
        <f t="shared" ref="L94:L95" si="83">D99-D94</f>
        <v>1.7383173193059542E-2</v>
      </c>
      <c r="M94" s="278">
        <f t="shared" ref="M94:M95" si="84">F99-F94</f>
        <v>7.8269002547486782E-3</v>
      </c>
      <c r="N94" s="278">
        <f t="shared" ref="N94:N95" si="85">SUM(K94:M94)</f>
        <v>9.4995146477992107E-2</v>
      </c>
    </row>
    <row r="95" spans="1:14">
      <c r="A95" s="258" t="s">
        <v>143</v>
      </c>
      <c r="B95" s="278">
        <f>SUM(B93:B94)</f>
        <v>6.5780984337585187</v>
      </c>
      <c r="C95" s="275" t="str">
        <f>CONCATENATE("(",ROUND((B95/$H95)*100,1),")")</f>
        <v>(88.7)</v>
      </c>
      <c r="D95" s="278">
        <f>SUM(D93:D94)</f>
        <v>0.53149276190211958</v>
      </c>
      <c r="E95" s="275" t="str">
        <f>CONCATENATE("(",ROUND((D95/$H95)*100,1),")")</f>
        <v>(7.2)</v>
      </c>
      <c r="F95" s="278">
        <f>SUM(F93:F94)</f>
        <v>0.30540880433934964</v>
      </c>
      <c r="G95" s="275" t="str">
        <f>CONCATENATE("(",ROUND((F95/$H95)*100,1),")")</f>
        <v>(4.1)</v>
      </c>
      <c r="H95" s="278">
        <f>SUM(H93:H94)</f>
        <v>7.4149999999999876</v>
      </c>
      <c r="I95" s="275" t="str">
        <f>CONCATENATE("(",ROUND((H95/$H95)*100,1),")")</f>
        <v>(100)</v>
      </c>
      <c r="K95" s="278">
        <f t="shared" si="82"/>
        <v>0.39026745708873189</v>
      </c>
      <c r="L95" s="278">
        <f t="shared" si="83"/>
        <v>3.8995214518892207E-2</v>
      </c>
      <c r="M95" s="278">
        <f t="shared" si="84"/>
        <v>2.3737328392391344E-2</v>
      </c>
      <c r="N95" s="278">
        <f t="shared" si="85"/>
        <v>0.45300000000001545</v>
      </c>
    </row>
    <row r="96" spans="1:14">
      <c r="B96" s="278"/>
      <c r="C96" s="260"/>
      <c r="D96" s="278"/>
      <c r="E96" s="260"/>
      <c r="F96" s="278"/>
      <c r="G96" s="260"/>
      <c r="H96" s="278"/>
      <c r="I96" s="260"/>
    </row>
    <row r="97" spans="1:14">
      <c r="A97" s="268">
        <f>$A$13</f>
        <v>2025</v>
      </c>
      <c r="B97" s="278"/>
      <c r="C97" s="260"/>
      <c r="D97" s="278"/>
      <c r="E97" s="260"/>
      <c r="F97" s="278"/>
      <c r="G97" s="260"/>
      <c r="H97" s="278"/>
      <c r="I97" s="260"/>
      <c r="K97" s="262" t="str">
        <f>CONCATENATE(A97," - ",A102)</f>
        <v>2025 - 2035</v>
      </c>
    </row>
    <row r="98" spans="1:14">
      <c r="A98" s="258" t="s">
        <v>141</v>
      </c>
      <c r="B98" s="278">
        <f>'Ind T6'!Q36</f>
        <v>5.6121174915894194</v>
      </c>
      <c r="C98" s="275" t="str">
        <f>CONCATENATE("(",ROUND((B98/$H100)*100,1),")")</f>
        <v>(71.3)</v>
      </c>
      <c r="D98" s="278">
        <f>'Ind T6'!R36</f>
        <v>0.22358906393103856</v>
      </c>
      <c r="E98" s="275" t="str">
        <f>CONCATENATE("(",ROUND((D98/$H100)*100,1),")")</f>
        <v>(2.8)</v>
      </c>
      <c r="F98" s="278">
        <f>'Ind T6'!S36</f>
        <v>0.21479264152378308</v>
      </c>
      <c r="G98" s="275" t="str">
        <f>CONCATENATE("(",ROUND((F98/$H100)*100,1),")")</f>
        <v>(2.7)</v>
      </c>
      <c r="H98" s="278">
        <f>SUM(B98,D98,F98)</f>
        <v>6.0504991970442408</v>
      </c>
      <c r="I98" s="275" t="str">
        <f>CONCATENATE("(",ROUND((H98/$H100)*100,1),")")</f>
        <v>(76.9)</v>
      </c>
      <c r="K98" s="278">
        <f>B103-B98</f>
        <v>-0.55442222962825483</v>
      </c>
      <c r="L98" s="278">
        <f>D103-D98</f>
        <v>-7.8359557416369241E-3</v>
      </c>
      <c r="M98" s="278">
        <f>F103-F98</f>
        <v>-1.2984942264942095E-2</v>
      </c>
      <c r="N98" s="278">
        <f>SUM(K98:M98)</f>
        <v>-0.57524312763483387</v>
      </c>
    </row>
    <row r="99" spans="1:14">
      <c r="A99" s="258" t="s">
        <v>142</v>
      </c>
      <c r="B99" s="278">
        <f>'Ind T6'!Q35</f>
        <v>1.3562483992578311</v>
      </c>
      <c r="C99" s="275" t="str">
        <f>CONCATENATE("(",ROUND((B99/$H100)*100,1),")")</f>
        <v>(17.2)</v>
      </c>
      <c r="D99" s="278">
        <f>'Ind T6'!R35</f>
        <v>0.34689891248997329</v>
      </c>
      <c r="E99" s="275" t="str">
        <f>CONCATENATE("(",ROUND((D99/$H100)*100,1),")")</f>
        <v>(4.4)</v>
      </c>
      <c r="F99" s="278">
        <f>'Ind T6'!S35</f>
        <v>0.11435349120795787</v>
      </c>
      <c r="G99" s="275" t="str">
        <f>CONCATENATE("(",ROUND((F99/$H100)*100,1),")")</f>
        <v>(1.5)</v>
      </c>
      <c r="H99" s="278">
        <f t="shared" ref="H99" si="86">SUM(B99,D99,F99)</f>
        <v>1.8175008029557622</v>
      </c>
      <c r="I99" s="275" t="str">
        <f>CONCATENATE("(",ROUND((H99/$H100)*100,1),")")</f>
        <v>(23.1)</v>
      </c>
      <c r="K99" s="278">
        <f t="shared" ref="K99:K100" si="87">B104-B99</f>
        <v>-0.1588667364023133</v>
      </c>
      <c r="L99" s="278">
        <f t="shared" ref="L99:L100" si="88">D104-D99</f>
        <v>-3.6894075017623651E-2</v>
      </c>
      <c r="M99" s="278">
        <f t="shared" ref="M99:M100" si="89">F104-F99</f>
        <v>-5.9960609452345687E-3</v>
      </c>
      <c r="N99" s="278">
        <f t="shared" ref="N99:N100" si="90">SUM(K99:M99)</f>
        <v>-0.20175687236517154</v>
      </c>
    </row>
    <row r="100" spans="1:14">
      <c r="A100" s="258" t="s">
        <v>143</v>
      </c>
      <c r="B100" s="278">
        <f>SUM(B98:B99)</f>
        <v>6.9683658908472506</v>
      </c>
      <c r="C100" s="275" t="str">
        <f>CONCATENATE("(",ROUND((B100/$H100)*100,1),")")</f>
        <v>(88.6)</v>
      </c>
      <c r="D100" s="278">
        <f>SUM(D98:D99)</f>
        <v>0.57048797642101179</v>
      </c>
      <c r="E100" s="275" t="str">
        <f>CONCATENATE("(",ROUND((D100/$H100)*100,1),")")</f>
        <v>(7.3)</v>
      </c>
      <c r="F100" s="278">
        <f>SUM(F98:F99)</f>
        <v>0.32914613273174098</v>
      </c>
      <c r="G100" s="275" t="str">
        <f>CONCATENATE("(",ROUND((F100/$H100)*100,1),")")</f>
        <v>(4.2)</v>
      </c>
      <c r="H100" s="278">
        <f>SUM(H98:H99)</f>
        <v>7.868000000000003</v>
      </c>
      <c r="I100" s="275" t="str">
        <f>CONCATENATE("(",ROUND((H100/$H100)*100,1),")")</f>
        <v>(100)</v>
      </c>
      <c r="K100" s="278">
        <f t="shared" si="87"/>
        <v>-0.71328896603056791</v>
      </c>
      <c r="L100" s="278">
        <f t="shared" si="88"/>
        <v>-4.473003075926052E-2</v>
      </c>
      <c r="M100" s="278">
        <f t="shared" si="89"/>
        <v>-1.8981003210176706E-2</v>
      </c>
      <c r="N100" s="278">
        <f t="shared" si="90"/>
        <v>-0.77700000000000513</v>
      </c>
    </row>
    <row r="101" spans="1:14">
      <c r="B101" s="278"/>
      <c r="C101" s="260"/>
      <c r="D101" s="278"/>
      <c r="E101" s="260"/>
      <c r="F101" s="278"/>
      <c r="G101" s="260"/>
      <c r="H101" s="278"/>
      <c r="I101" s="260"/>
    </row>
    <row r="102" spans="1:14">
      <c r="A102" s="268">
        <f>$A$18</f>
        <v>2035</v>
      </c>
      <c r="B102" s="278"/>
      <c r="C102" s="260"/>
      <c r="D102" s="278"/>
      <c r="E102" s="260"/>
      <c r="F102" s="278"/>
      <c r="G102" s="260"/>
      <c r="H102" s="278"/>
      <c r="I102" s="260"/>
      <c r="K102" s="262" t="str">
        <f>CONCATENATE(A92," - ",A102)</f>
        <v>2020 - 2035</v>
      </c>
    </row>
    <row r="103" spans="1:14">
      <c r="A103" s="258" t="s">
        <v>141</v>
      </c>
      <c r="B103" s="278">
        <f>'Ind T6'!V36</f>
        <v>5.0576952619611646</v>
      </c>
      <c r="C103" s="275" t="str">
        <f>CONCATENATE("(",ROUND((B103/$H105)*100,1),")")</f>
        <v>(71.3)</v>
      </c>
      <c r="D103" s="278">
        <f>'Ind T6'!W36</f>
        <v>0.21575310818940163</v>
      </c>
      <c r="E103" s="275" t="str">
        <f>CONCATENATE("(",ROUND((D103/$H105)*100,1),")")</f>
        <v>(3)</v>
      </c>
      <c r="F103" s="278">
        <f>'Ind T6'!X36</f>
        <v>0.20180769925884098</v>
      </c>
      <c r="G103" s="275" t="str">
        <f>CONCATENATE("(",ROUND((F103/$H105)*100,1),")")</f>
        <v>(2.8)</v>
      </c>
      <c r="H103" s="278">
        <f>SUM(B103,D103,F103)</f>
        <v>5.475256069409407</v>
      </c>
      <c r="I103" s="275" t="str">
        <f>CONCATENATE("(",ROUND((H103/$H105)*100,1),")")</f>
        <v>(77.2)</v>
      </c>
      <c r="K103" s="278">
        <f>B103-B93</f>
        <v>-0.23393984556970704</v>
      </c>
      <c r="L103" s="278">
        <f>D103-D93</f>
        <v>1.3776085584195824E-2</v>
      </c>
      <c r="M103" s="278">
        <f>F103-F93</f>
        <v>2.9254858727005284E-3</v>
      </c>
      <c r="N103" s="278">
        <f>SUM(K103:M103)</f>
        <v>-0.21723827411281069</v>
      </c>
    </row>
    <row r="104" spans="1:14">
      <c r="A104" s="258" t="s">
        <v>142</v>
      </c>
      <c r="B104" s="278">
        <f>'Ind T6'!V35</f>
        <v>1.1973816628555178</v>
      </c>
      <c r="C104" s="275" t="str">
        <f>CONCATENATE("(",ROUND((B104/$H105)*100,1),")")</f>
        <v>(16.9)</v>
      </c>
      <c r="D104" s="278">
        <f>'Ind T6'!W35</f>
        <v>0.31000483747234964</v>
      </c>
      <c r="E104" s="275" t="str">
        <f>CONCATENATE("(",ROUND((D104/$H105)*100,1),")")</f>
        <v>(4.4)</v>
      </c>
      <c r="F104" s="278">
        <f>'Ind T6'!X35</f>
        <v>0.10835743026272331</v>
      </c>
      <c r="G104" s="275" t="str">
        <f>CONCATENATE("(",ROUND((F104/$H105)*100,1),")")</f>
        <v>(1.5)</v>
      </c>
      <c r="H104" s="278">
        <f t="shared" ref="H104" si="91">SUM(B104,D104,F104)</f>
        <v>1.6157439305905907</v>
      </c>
      <c r="I104" s="275" t="str">
        <f>CONCATENATE("(",ROUND((H104/$H105)*100,1),")")</f>
        <v>(22.8)</v>
      </c>
      <c r="K104" s="278">
        <f t="shared" ref="K104:K105" si="92">B104-B94</f>
        <v>-8.9081663372129416E-2</v>
      </c>
      <c r="L104" s="278">
        <f t="shared" ref="L104:L105" si="93">D104-D94</f>
        <v>-1.9510901824564109E-2</v>
      </c>
      <c r="M104" s="278">
        <f t="shared" ref="M104:M105" si="94">F104-F94</f>
        <v>1.8308393095141096E-3</v>
      </c>
      <c r="N104" s="278">
        <f t="shared" ref="N104:N105" si="95">SUM(K104:M104)</f>
        <v>-0.10676172588717942</v>
      </c>
    </row>
    <row r="105" spans="1:14">
      <c r="A105" s="258" t="s">
        <v>143</v>
      </c>
      <c r="B105" s="278">
        <f>SUM(B103:B104)</f>
        <v>6.2550769248166826</v>
      </c>
      <c r="C105" s="275" t="str">
        <f>CONCATENATE("(",ROUND((B105/$H105)*100,1),")")</f>
        <v>(88.2)</v>
      </c>
      <c r="D105" s="278">
        <f>SUM(D103:D104)</f>
        <v>0.52575794566175127</v>
      </c>
      <c r="E105" s="275" t="str">
        <f>CONCATENATE("(",ROUND((D105/$H105)*100,1),")")</f>
        <v>(7.4)</v>
      </c>
      <c r="F105" s="278">
        <f>SUM(F103:F104)</f>
        <v>0.31016512952156428</v>
      </c>
      <c r="G105" s="275" t="str">
        <f>CONCATENATE("(",ROUND((F105/$H105)*100,1),")")</f>
        <v>(4.4)</v>
      </c>
      <c r="H105" s="278">
        <f>SUM(H103:H104)</f>
        <v>7.0909999999999975</v>
      </c>
      <c r="I105" s="275" t="str">
        <f>CONCATENATE("(",ROUND((H105/$H105)*100,1),")")</f>
        <v>(100)</v>
      </c>
      <c r="K105" s="278">
        <f t="shared" si="92"/>
        <v>-0.32302150894183601</v>
      </c>
      <c r="L105" s="278">
        <f t="shared" si="93"/>
        <v>-5.7348162403683123E-3</v>
      </c>
      <c r="M105" s="278">
        <f t="shared" si="94"/>
        <v>4.756325182214638E-3</v>
      </c>
      <c r="N105" s="278">
        <f t="shared" si="95"/>
        <v>-0.32399999999998969</v>
      </c>
    </row>
    <row r="106" spans="1:14">
      <c r="A106" s="269"/>
      <c r="B106" s="270"/>
      <c r="C106" s="269"/>
      <c r="D106" s="270"/>
      <c r="E106" s="269"/>
      <c r="F106" s="270"/>
      <c r="G106" s="269"/>
      <c r="H106" s="270"/>
      <c r="I106" s="269"/>
      <c r="J106" s="269"/>
      <c r="K106" s="270"/>
      <c r="L106" s="270"/>
      <c r="M106" s="270"/>
      <c r="N106" s="270"/>
    </row>
    <row r="107" spans="1:14">
      <c r="A107" s="271"/>
    </row>
    <row r="109" spans="1:14">
      <c r="C109" s="159"/>
      <c r="E109" s="159"/>
      <c r="G109" s="159"/>
      <c r="I109" s="159"/>
    </row>
    <row r="110" spans="1:14">
      <c r="A110" s="264"/>
      <c r="B110" s="265" t="s">
        <v>130</v>
      </c>
      <c r="C110" s="264"/>
      <c r="D110" s="265"/>
      <c r="E110" s="264"/>
      <c r="F110" s="265" t="str">
        <f>name!B8</f>
        <v>Rest of manufacturing</v>
      </c>
      <c r="G110" s="264"/>
      <c r="H110" s="267"/>
      <c r="I110" s="264"/>
      <c r="J110" s="266"/>
      <c r="K110" s="267"/>
      <c r="L110" s="267"/>
      <c r="M110" s="267"/>
      <c r="N110" s="267"/>
    </row>
    <row r="111" spans="1:14">
      <c r="N111" s="263" t="s">
        <v>131</v>
      </c>
    </row>
    <row r="112" spans="1:14">
      <c r="A112" s="159" t="s">
        <v>132</v>
      </c>
      <c r="B112" s="344" t="s">
        <v>133</v>
      </c>
      <c r="C112" s="344"/>
      <c r="D112" s="344" t="s">
        <v>134</v>
      </c>
      <c r="E112" s="344"/>
      <c r="F112" s="344" t="s">
        <v>135</v>
      </c>
      <c r="G112" s="344"/>
      <c r="H112" s="344" t="s">
        <v>117</v>
      </c>
      <c r="I112" s="344"/>
      <c r="J112" s="159"/>
      <c r="K112" s="273" t="s">
        <v>136</v>
      </c>
      <c r="L112" s="273" t="s">
        <v>137</v>
      </c>
      <c r="M112" s="273" t="s">
        <v>138</v>
      </c>
      <c r="N112" s="273" t="s">
        <v>117</v>
      </c>
    </row>
    <row r="113" spans="1:14">
      <c r="A113" s="268">
        <f>$A$8</f>
        <v>2020</v>
      </c>
      <c r="B113" s="263" t="s">
        <v>139</v>
      </c>
      <c r="C113" s="19" t="s">
        <v>140</v>
      </c>
      <c r="D113" s="263" t="s">
        <v>139</v>
      </c>
      <c r="E113" s="19" t="s">
        <v>140</v>
      </c>
      <c r="F113" s="263" t="s">
        <v>139</v>
      </c>
      <c r="G113" s="19" t="s">
        <v>140</v>
      </c>
      <c r="H113" s="263" t="s">
        <v>139</v>
      </c>
      <c r="I113" s="19" t="s">
        <v>140</v>
      </c>
      <c r="J113" s="159"/>
      <c r="K113" s="262" t="str">
        <f>CONCATENATE(A113," - ",A118)</f>
        <v>2020 - 2025</v>
      </c>
      <c r="L113" s="261"/>
      <c r="M113" s="261"/>
    </row>
    <row r="114" spans="1:14">
      <c r="A114" s="258" t="s">
        <v>141</v>
      </c>
      <c r="B114" s="278">
        <f>'Ind T6'!L45</f>
        <v>35.294564240296211</v>
      </c>
      <c r="C114" s="275" t="str">
        <f>CONCATENATE("(",ROUND((B114/$H116)*100,1),")")</f>
        <v>(70.4)</v>
      </c>
      <c r="D114" s="278">
        <f>'Ind T6'!M45</f>
        <v>1.9821287341363689</v>
      </c>
      <c r="E114" s="275" t="str">
        <f>CONCATENATE("(",ROUND((D114/$H116)*100,1),")")</f>
        <v>(4)</v>
      </c>
      <c r="F114" s="278">
        <f>'Ind T6'!N45</f>
        <v>2.0756127435476746</v>
      </c>
      <c r="G114" s="275" t="str">
        <f>CONCATENATE("(",ROUND((F114/$H116)*100,1),")")</f>
        <v>(4.1)</v>
      </c>
      <c r="H114" s="278">
        <f>SUM(B114,D114,F114)</f>
        <v>39.352305717980251</v>
      </c>
      <c r="I114" s="275" t="str">
        <f>CONCATENATE("(",ROUND((H114/$H116)*100,1),")")</f>
        <v>(78.4)</v>
      </c>
      <c r="K114" s="278">
        <f>B119-B114</f>
        <v>-1.2438782224732989</v>
      </c>
      <c r="L114" s="278">
        <f>D119-D114</f>
        <v>-0.13226174027824356</v>
      </c>
      <c r="M114" s="278">
        <f>F119-F114</f>
        <v>-0.12142581358490689</v>
      </c>
      <c r="N114" s="278">
        <f>SUM(K114:M114)</f>
        <v>-1.4975657763364494</v>
      </c>
    </row>
    <row r="115" spans="1:14">
      <c r="A115" s="258" t="s">
        <v>142</v>
      </c>
      <c r="B115" s="278">
        <f>'Ind T6'!L44</f>
        <v>7.7683203810621846</v>
      </c>
      <c r="C115" s="275" t="str">
        <f>CONCATENATE("(",ROUND((B115/$H116)*100,1),")")</f>
        <v>(15.5)</v>
      </c>
      <c r="D115" s="278">
        <f>'Ind T6'!M44</f>
        <v>2.2679354550548565</v>
      </c>
      <c r="E115" s="275" t="str">
        <f>CONCATENATE("(",ROUND((D115/$H116)*100,1),")")</f>
        <v>(4.5)</v>
      </c>
      <c r="F115" s="278">
        <f>'Ind T6'!N44</f>
        <v>0.77843844590273481</v>
      </c>
      <c r="G115" s="275" t="str">
        <f>CONCATENATE("(",ROUND((F115/$H116)*100,1),")")</f>
        <v>(1.6)</v>
      </c>
      <c r="H115" s="278">
        <f t="shared" ref="H115" si="96">SUM(B115,D115,F115)</f>
        <v>10.814694282019776</v>
      </c>
      <c r="I115" s="275" t="str">
        <f>CONCATENATE("(",ROUND((H115/$H116)*100,1),")")</f>
        <v>(21.6)</v>
      </c>
      <c r="K115" s="278">
        <f t="shared" ref="K115:K116" si="97">B120-B115</f>
        <v>-0.19732846830359119</v>
      </c>
      <c r="L115" s="278">
        <f t="shared" ref="L115:L116" si="98">D120-D115</f>
        <v>-0.11608969866574936</v>
      </c>
      <c r="M115" s="278">
        <f t="shared" ref="M115:M116" si="99">F120-F115</f>
        <v>-7.301605669420197E-2</v>
      </c>
      <c r="N115" s="278">
        <f t="shared" ref="N115:N116" si="100">SUM(K115:M115)</f>
        <v>-0.38643422366354252</v>
      </c>
    </row>
    <row r="116" spans="1:14">
      <c r="A116" s="258" t="s">
        <v>143</v>
      </c>
      <c r="B116" s="278">
        <f>SUM(B114:B115)</f>
        <v>43.062884621358393</v>
      </c>
      <c r="C116" s="275" t="str">
        <f>CONCATENATE("(",ROUND((B116/$H116)*100,1),")")</f>
        <v>(85.8)</v>
      </c>
      <c r="D116" s="278">
        <f>SUM(D114:D115)</f>
        <v>4.2500641891912254</v>
      </c>
      <c r="E116" s="275" t="str">
        <f>CONCATENATE("(",ROUND((D116/$H116)*100,1),")")</f>
        <v>(8.5)</v>
      </c>
      <c r="F116" s="278">
        <f>SUM(F114:F115)</f>
        <v>2.8540511894504093</v>
      </c>
      <c r="G116" s="275" t="str">
        <f>CONCATENATE("(",ROUND((F116/$H116)*100,1),")")</f>
        <v>(5.7)</v>
      </c>
      <c r="H116" s="278">
        <f>SUM(H114:H115)</f>
        <v>50.16700000000003</v>
      </c>
      <c r="I116" s="275" t="str">
        <f>CONCATENATE("(",ROUND((H116/$H116)*100,1),")")</f>
        <v>(100)</v>
      </c>
      <c r="K116" s="278">
        <f t="shared" si="97"/>
        <v>-1.4412066907768875</v>
      </c>
      <c r="L116" s="278">
        <f t="shared" si="98"/>
        <v>-0.2483514389439927</v>
      </c>
      <c r="M116" s="278">
        <f t="shared" si="99"/>
        <v>-0.19444187027910864</v>
      </c>
      <c r="N116" s="278">
        <f t="shared" si="100"/>
        <v>-1.8839999999999888</v>
      </c>
    </row>
    <row r="117" spans="1:14">
      <c r="B117" s="278"/>
      <c r="C117" s="260"/>
      <c r="D117" s="278"/>
      <c r="E117" s="260"/>
      <c r="F117" s="278"/>
      <c r="G117" s="260"/>
      <c r="H117" s="278"/>
      <c r="I117" s="260"/>
    </row>
    <row r="118" spans="1:14">
      <c r="A118" s="268">
        <f>$A$13</f>
        <v>2025</v>
      </c>
      <c r="B118" s="278"/>
      <c r="C118" s="260"/>
      <c r="D118" s="278"/>
      <c r="E118" s="260"/>
      <c r="F118" s="278"/>
      <c r="G118" s="260"/>
      <c r="H118" s="278"/>
      <c r="I118" s="260"/>
      <c r="K118" s="262" t="str">
        <f>CONCATENATE(A118," - ",A123)</f>
        <v>2025 - 2035</v>
      </c>
    </row>
    <row r="119" spans="1:14">
      <c r="A119" s="258" t="s">
        <v>141</v>
      </c>
      <c r="B119" s="278">
        <f>'Ind T6'!Q45</f>
        <v>34.050686017822912</v>
      </c>
      <c r="C119" s="275" t="str">
        <f>CONCATENATE("(",ROUND((B119/$H121)*100,1),")")</f>
        <v>(70.5)</v>
      </c>
      <c r="D119" s="278">
        <f>'Ind T6'!R45</f>
        <v>1.8498669938581254</v>
      </c>
      <c r="E119" s="275" t="str">
        <f>CONCATENATE("(",ROUND((D119/$H121)*100,1),")")</f>
        <v>(3.8)</v>
      </c>
      <c r="F119" s="278">
        <f>'Ind T6'!S45</f>
        <v>1.9541869299627677</v>
      </c>
      <c r="G119" s="275" t="str">
        <f>CONCATENATE("(",ROUND((F119/$H121)*100,1),")")</f>
        <v>(4)</v>
      </c>
      <c r="H119" s="278">
        <f>SUM(B119,D119,F119)</f>
        <v>37.854739941643807</v>
      </c>
      <c r="I119" s="275" t="str">
        <f>CONCATENATE("(",ROUND((H119/$H121)*100,1),")")</f>
        <v>(78.4)</v>
      </c>
      <c r="K119" s="278">
        <f>B124-B119</f>
        <v>-3.4746489977175372</v>
      </c>
      <c r="L119" s="278">
        <f>D124-D119</f>
        <v>-0.16758911087732375</v>
      </c>
      <c r="M119" s="278">
        <f>F124-F119</f>
        <v>-0.11187549028977606</v>
      </c>
      <c r="N119" s="278">
        <f>SUM(K119:M119)</f>
        <v>-3.7541135988846372</v>
      </c>
    </row>
    <row r="120" spans="1:14">
      <c r="A120" s="258" t="s">
        <v>142</v>
      </c>
      <c r="B120" s="278">
        <f>'Ind T6'!Q44</f>
        <v>7.5709919127585934</v>
      </c>
      <c r="C120" s="275" t="str">
        <f>CONCATENATE("(",ROUND((B120/$H121)*100,1),")")</f>
        <v>(15.7)</v>
      </c>
      <c r="D120" s="278">
        <f>'Ind T6'!R44</f>
        <v>2.1518457563891071</v>
      </c>
      <c r="E120" s="275" t="str">
        <f>CONCATENATE("(",ROUND((D120/$H121)*100,1),")")</f>
        <v>(4.5)</v>
      </c>
      <c r="F120" s="278">
        <f>'Ind T6'!S44</f>
        <v>0.70542238920853284</v>
      </c>
      <c r="G120" s="275" t="str">
        <f>CONCATENATE("(",ROUND((F120/$H121)*100,1),")")</f>
        <v>(1.5)</v>
      </c>
      <c r="H120" s="278">
        <f t="shared" ref="H120" si="101">SUM(B120,D120,F120)</f>
        <v>10.428260058356233</v>
      </c>
      <c r="I120" s="275" t="str">
        <f>CONCATENATE("(",ROUND((H120/$H121)*100,1),")")</f>
        <v>(21.6)</v>
      </c>
      <c r="K120" s="278">
        <f t="shared" ref="K120:K121" si="102">B125-B120</f>
        <v>-0.60268583996418013</v>
      </c>
      <c r="L120" s="278">
        <f t="shared" ref="L120:L121" si="103">D125-D120</f>
        <v>-0.22267118292436372</v>
      </c>
      <c r="M120" s="278">
        <f t="shared" ref="M120:M121" si="104">F125-F120</f>
        <v>-9.3529378226947513E-2</v>
      </c>
      <c r="N120" s="278">
        <f t="shared" ref="N120:N121" si="105">SUM(K120:M120)</f>
        <v>-0.91888640111549136</v>
      </c>
    </row>
    <row r="121" spans="1:14">
      <c r="A121" s="258" t="s">
        <v>143</v>
      </c>
      <c r="B121" s="278">
        <f>SUM(B119:B120)</f>
        <v>41.621677930581505</v>
      </c>
      <c r="C121" s="275" t="str">
        <f>CONCATENATE("(",ROUND((B121/$H121)*100,1),")")</f>
        <v>(86.2)</v>
      </c>
      <c r="D121" s="278">
        <f>SUM(D119:D120)</f>
        <v>4.0017127502472327</v>
      </c>
      <c r="E121" s="275" t="str">
        <f>CONCATENATE("(",ROUND((D121/$H121)*100,1),")")</f>
        <v>(8.3)</v>
      </c>
      <c r="F121" s="278">
        <f>SUM(F119:F120)</f>
        <v>2.6596093191713006</v>
      </c>
      <c r="G121" s="275" t="str">
        <f>CONCATENATE("(",ROUND((F121/$H121)*100,1),")")</f>
        <v>(5.5)</v>
      </c>
      <c r="H121" s="278">
        <f>SUM(H119:H120)</f>
        <v>48.283000000000044</v>
      </c>
      <c r="I121" s="275" t="str">
        <f>CONCATENATE("(",ROUND((H121/$H121)*100,1),")")</f>
        <v>(100)</v>
      </c>
      <c r="K121" s="278">
        <f t="shared" si="102"/>
        <v>-4.0773348376817182</v>
      </c>
      <c r="L121" s="278">
        <f t="shared" si="103"/>
        <v>-0.39026029380168747</v>
      </c>
      <c r="M121" s="278">
        <f t="shared" si="104"/>
        <v>-0.20540486851672357</v>
      </c>
      <c r="N121" s="278">
        <f t="shared" si="105"/>
        <v>-4.6730000000001297</v>
      </c>
    </row>
    <row r="122" spans="1:14">
      <c r="B122" s="278"/>
      <c r="C122" s="260"/>
      <c r="D122" s="278"/>
      <c r="E122" s="260"/>
      <c r="F122" s="278"/>
      <c r="G122" s="260"/>
      <c r="H122" s="278"/>
      <c r="I122" s="260"/>
    </row>
    <row r="123" spans="1:14">
      <c r="A123" s="268">
        <f>$A$18</f>
        <v>2035</v>
      </c>
      <c r="B123" s="278"/>
      <c r="C123" s="260"/>
      <c r="D123" s="278"/>
      <c r="E123" s="260"/>
      <c r="F123" s="278"/>
      <c r="G123" s="260"/>
      <c r="H123" s="278"/>
      <c r="I123" s="260"/>
      <c r="K123" s="262" t="str">
        <f>CONCATENATE(A113," - ",A123)</f>
        <v>2020 - 2035</v>
      </c>
    </row>
    <row r="124" spans="1:14">
      <c r="A124" s="258" t="s">
        <v>141</v>
      </c>
      <c r="B124" s="278">
        <f>'Ind T6'!V45</f>
        <v>30.576037020105375</v>
      </c>
      <c r="C124" s="275" t="str">
        <f>CONCATENATE("(",ROUND((B124/$H126)*100,1),")")</f>
        <v>(70.1)</v>
      </c>
      <c r="D124" s="278">
        <f>'Ind T6'!W45</f>
        <v>1.6822778829808016</v>
      </c>
      <c r="E124" s="275" t="str">
        <f>CONCATENATE("(",ROUND((D124/$H126)*100,1),")")</f>
        <v>(3.9)</v>
      </c>
      <c r="F124" s="278">
        <f>'Ind T6'!X45</f>
        <v>1.8423114396729916</v>
      </c>
      <c r="G124" s="275" t="str">
        <f>CONCATENATE("(",ROUND((F124/$H126)*100,1),")")</f>
        <v>(4.2)</v>
      </c>
      <c r="H124" s="278">
        <f>SUM(B124,D124,F124)</f>
        <v>34.100626342759163</v>
      </c>
      <c r="I124" s="275" t="str">
        <f>CONCATENATE("(",ROUND((H124/$H126)*100,1),")")</f>
        <v>(78.2)</v>
      </c>
      <c r="K124" s="278">
        <f>B124-B114</f>
        <v>-4.7185272201908361</v>
      </c>
      <c r="L124" s="278">
        <f>D124-D114</f>
        <v>-0.29985085115556731</v>
      </c>
      <c r="M124" s="278">
        <f>F124-F114</f>
        <v>-0.23330130387468295</v>
      </c>
      <c r="N124" s="278">
        <f>SUM(K124:M124)</f>
        <v>-5.2516793752210864</v>
      </c>
    </row>
    <row r="125" spans="1:14">
      <c r="A125" s="258" t="s">
        <v>142</v>
      </c>
      <c r="B125" s="278">
        <f>'Ind T6'!V44</f>
        <v>6.9683060727944133</v>
      </c>
      <c r="C125" s="275" t="str">
        <f>CONCATENATE("(",ROUND((B125/$H126)*100,1),")")</f>
        <v>(16)</v>
      </c>
      <c r="D125" s="278">
        <f>'Ind T6'!W44</f>
        <v>1.9291745734647434</v>
      </c>
      <c r="E125" s="275" t="str">
        <f>CONCATENATE("(",ROUND((D125/$H126)*100,1),")")</f>
        <v>(4.4)</v>
      </c>
      <c r="F125" s="278">
        <f>'Ind T6'!X44</f>
        <v>0.61189301098158533</v>
      </c>
      <c r="G125" s="275" t="str">
        <f>CONCATENATE("(",ROUND((F125/$H126)*100,1),")")</f>
        <v>(1.4)</v>
      </c>
      <c r="H125" s="278">
        <f t="shared" ref="H125" si="106">SUM(B125,D125,F125)</f>
        <v>9.5093736572407419</v>
      </c>
      <c r="I125" s="275" t="str">
        <f>CONCATENATE("(",ROUND((H125/$H126)*100,1),")")</f>
        <v>(21.8)</v>
      </c>
      <c r="K125" s="278">
        <f t="shared" ref="K125:K126" si="107">B125-B115</f>
        <v>-0.80001430826777131</v>
      </c>
      <c r="L125" s="278">
        <f t="shared" ref="L125:L126" si="108">D125-D115</f>
        <v>-0.33876088159011308</v>
      </c>
      <c r="M125" s="278">
        <f t="shared" ref="M125:M126" si="109">F125-F115</f>
        <v>-0.16654543492114948</v>
      </c>
      <c r="N125" s="278">
        <f t="shared" ref="N125:N126" si="110">SUM(K125:M125)</f>
        <v>-1.3053206247790339</v>
      </c>
    </row>
    <row r="126" spans="1:14">
      <c r="A126" s="258" t="s">
        <v>143</v>
      </c>
      <c r="B126" s="278">
        <f>SUM(B124:B125)</f>
        <v>37.544343092899787</v>
      </c>
      <c r="C126" s="275" t="str">
        <f>CONCATENATE("(",ROUND((B126/$H126)*100,1),")")</f>
        <v>(86.1)</v>
      </c>
      <c r="D126" s="278">
        <f>SUM(D124:D125)</f>
        <v>3.6114524564455452</v>
      </c>
      <c r="E126" s="275" t="str">
        <f>CONCATENATE("(",ROUND((D126/$H126)*100,1),")")</f>
        <v>(8.3)</v>
      </c>
      <c r="F126" s="278">
        <f>SUM(F124:F125)</f>
        <v>2.454204450654577</v>
      </c>
      <c r="G126" s="275" t="str">
        <f>CONCATENATE("(",ROUND((F126/$H126)*100,1),")")</f>
        <v>(5.6)</v>
      </c>
      <c r="H126" s="278">
        <f>SUM(H124:H125)</f>
        <v>43.609999999999907</v>
      </c>
      <c r="I126" s="275" t="str">
        <f>CONCATENATE("(",ROUND((H126/$H126)*100,1),")")</f>
        <v>(100)</v>
      </c>
      <c r="K126" s="278">
        <f t="shared" si="107"/>
        <v>-5.5185415284586057</v>
      </c>
      <c r="L126" s="278">
        <f t="shared" si="108"/>
        <v>-0.63861173274568017</v>
      </c>
      <c r="M126" s="278">
        <f t="shared" si="109"/>
        <v>-0.39984673879583221</v>
      </c>
      <c r="N126" s="278">
        <f t="shared" si="110"/>
        <v>-6.5570000000001176</v>
      </c>
    </row>
    <row r="127" spans="1:14">
      <c r="A127" s="269"/>
      <c r="B127" s="270"/>
      <c r="C127" s="269"/>
      <c r="D127" s="270"/>
      <c r="E127" s="269"/>
      <c r="F127" s="270"/>
      <c r="G127" s="269"/>
      <c r="H127" s="270"/>
      <c r="I127" s="269"/>
      <c r="J127" s="269"/>
      <c r="K127" s="270"/>
      <c r="L127" s="270"/>
      <c r="M127" s="270"/>
      <c r="N127" s="270"/>
    </row>
    <row r="131" spans="1:14">
      <c r="A131" s="264"/>
      <c r="B131" s="265" t="s">
        <v>130</v>
      </c>
      <c r="C131" s="264"/>
      <c r="D131" s="265"/>
      <c r="E131" s="264"/>
      <c r="F131" s="265" t="str">
        <f>name!B9</f>
        <v>Electricity and gas</v>
      </c>
      <c r="G131" s="264"/>
      <c r="H131" s="267"/>
      <c r="I131" s="264"/>
      <c r="J131" s="266"/>
      <c r="K131" s="267"/>
      <c r="L131" s="267"/>
      <c r="M131" s="267"/>
      <c r="N131" s="267"/>
    </row>
    <row r="132" spans="1:14">
      <c r="N132" s="263" t="s">
        <v>131</v>
      </c>
    </row>
    <row r="133" spans="1:14">
      <c r="A133" s="159" t="s">
        <v>132</v>
      </c>
      <c r="B133" s="344" t="s">
        <v>133</v>
      </c>
      <c r="C133" s="344"/>
      <c r="D133" s="344" t="s">
        <v>134</v>
      </c>
      <c r="E133" s="344"/>
      <c r="F133" s="344" t="s">
        <v>135</v>
      </c>
      <c r="G133" s="344"/>
      <c r="H133" s="344" t="s">
        <v>117</v>
      </c>
      <c r="I133" s="344"/>
      <c r="J133" s="159"/>
      <c r="K133" s="273" t="s">
        <v>136</v>
      </c>
      <c r="L133" s="273" t="s">
        <v>137</v>
      </c>
      <c r="M133" s="273" t="s">
        <v>138</v>
      </c>
      <c r="N133" s="273" t="s">
        <v>117</v>
      </c>
    </row>
    <row r="134" spans="1:14">
      <c r="A134" s="268">
        <f>$A$8</f>
        <v>2020</v>
      </c>
      <c r="B134" s="263" t="s">
        <v>139</v>
      </c>
      <c r="C134" s="19" t="s">
        <v>140</v>
      </c>
      <c r="D134" s="263" t="s">
        <v>139</v>
      </c>
      <c r="E134" s="19" t="s">
        <v>140</v>
      </c>
      <c r="F134" s="263" t="s">
        <v>139</v>
      </c>
      <c r="G134" s="19" t="s">
        <v>140</v>
      </c>
      <c r="H134" s="263" t="s">
        <v>139</v>
      </c>
      <c r="I134" s="19" t="s">
        <v>140</v>
      </c>
      <c r="J134" s="159"/>
      <c r="K134" s="262" t="str">
        <f>CONCATENATE(A134," - ",A139)</f>
        <v>2020 - 2025</v>
      </c>
      <c r="L134" s="261"/>
      <c r="M134" s="261"/>
    </row>
    <row r="135" spans="1:14">
      <c r="A135" s="258" t="s">
        <v>141</v>
      </c>
      <c r="B135" s="278">
        <f>'Ind T6'!L54</f>
        <v>1.3551694150391835</v>
      </c>
      <c r="C135" s="275" t="str">
        <f>CONCATENATE("(",ROUND((B135/$H137)*100,1),")")</f>
        <v>(68.8)</v>
      </c>
      <c r="D135" s="278">
        <f>'Ind T6'!M54</f>
        <v>2.3093646936225617E-2</v>
      </c>
      <c r="E135" s="275" t="str">
        <f>CONCATENATE("(",ROUND((D135/$H137)*100,1),")")</f>
        <v>(1.2)</v>
      </c>
      <c r="F135" s="278">
        <f>'Ind T6'!N54</f>
        <v>0</v>
      </c>
      <c r="G135" s="275" t="str">
        <f>CONCATENATE("(",ROUND((F135/$H137)*100,1),")")</f>
        <v>(0)</v>
      </c>
      <c r="H135" s="278">
        <f>SUM(B135,D135,F135)</f>
        <v>1.378263061975409</v>
      </c>
      <c r="I135" s="275" t="str">
        <f>CONCATENATE("(",ROUND((H135/$H137)*100,1),")")</f>
        <v>(69.9)</v>
      </c>
      <c r="K135" s="278">
        <f>B140-B135</f>
        <v>-8.4742387520963414E-2</v>
      </c>
      <c r="L135" s="278">
        <f>D140-D135</f>
        <v>-1.01245540062651E-3</v>
      </c>
      <c r="M135" s="278">
        <f>F140-F135</f>
        <v>0</v>
      </c>
      <c r="N135" s="278">
        <f>SUM(K135:M135)</f>
        <v>-8.5754842921589927E-2</v>
      </c>
    </row>
    <row r="136" spans="1:14">
      <c r="A136" s="258" t="s">
        <v>142</v>
      </c>
      <c r="B136" s="278">
        <f>'Ind T6'!L53</f>
        <v>0.48428232944965371</v>
      </c>
      <c r="C136" s="275" t="str">
        <f>CONCATENATE("(",ROUND((B136/$H137)*100,1),")")</f>
        <v>(24.6)</v>
      </c>
      <c r="D136" s="278">
        <f>'Ind T6'!M53</f>
        <v>0.10845460857493409</v>
      </c>
      <c r="E136" s="275" t="str">
        <f>CONCATENATE("(",ROUND((D136/$H137)*100,1),")")</f>
        <v>(5.5)</v>
      </c>
      <c r="F136" s="278">
        <f>'Ind T6'!N53</f>
        <v>0</v>
      </c>
      <c r="G136" s="275" t="str">
        <f>CONCATENATE("(",ROUND((F136/$H137)*100,1),")")</f>
        <v>(0)</v>
      </c>
      <c r="H136" s="278">
        <f t="shared" ref="H136" si="111">SUM(B136,D136,F136)</f>
        <v>0.59273693802458782</v>
      </c>
      <c r="I136" s="275" t="str">
        <f>CONCATENATE("(",ROUND((H136/$H137)*100,1),")")</f>
        <v>(30.1)</v>
      </c>
      <c r="K136" s="278">
        <f t="shared" ref="K136:K137" si="112">B141-B136</f>
        <v>-2.310568790896772E-2</v>
      </c>
      <c r="L136" s="278">
        <f t="shared" ref="L136:L137" si="113">D141-D136</f>
        <v>-6.1394691694402759E-3</v>
      </c>
      <c r="M136" s="278">
        <f t="shared" ref="M136:M137" si="114">F141-F136</f>
        <v>0</v>
      </c>
      <c r="N136" s="278">
        <f t="shared" ref="N136:N137" si="115">SUM(K136:M136)</f>
        <v>-2.9245157078407996E-2</v>
      </c>
    </row>
    <row r="137" spans="1:14">
      <c r="A137" s="258" t="s">
        <v>143</v>
      </c>
      <c r="B137" s="278">
        <f>SUM(B135:B136)</f>
        <v>1.8394517444888372</v>
      </c>
      <c r="C137" s="275" t="str">
        <f>CONCATENATE("(",ROUND((B137/$H137)*100,1),")")</f>
        <v>(93.3)</v>
      </c>
      <c r="D137" s="278">
        <f>SUM(D135:D136)</f>
        <v>0.1315482555111597</v>
      </c>
      <c r="E137" s="275" t="str">
        <f>CONCATENATE("(",ROUND((D137/$H137)*100,1),")")</f>
        <v>(6.7)</v>
      </c>
      <c r="F137" s="278">
        <f>SUM(F135:F136)</f>
        <v>0</v>
      </c>
      <c r="G137" s="275" t="str">
        <f>CONCATENATE("(",ROUND((F137/$H137)*100,1),")")</f>
        <v>(0)</v>
      </c>
      <c r="H137" s="278">
        <f>SUM(H135:H136)</f>
        <v>1.970999999999997</v>
      </c>
      <c r="I137" s="275" t="str">
        <f>CONCATENATE("(",ROUND((H137/$H137)*100,1),")")</f>
        <v>(100)</v>
      </c>
      <c r="K137" s="278">
        <f t="shared" si="112"/>
        <v>-0.10784807542993113</v>
      </c>
      <c r="L137" s="278">
        <f t="shared" si="113"/>
        <v>-7.1519245700667755E-3</v>
      </c>
      <c r="M137" s="278">
        <f t="shared" si="114"/>
        <v>0</v>
      </c>
      <c r="N137" s="278">
        <f t="shared" si="115"/>
        <v>-0.11499999999999791</v>
      </c>
    </row>
    <row r="138" spans="1:14">
      <c r="B138" s="278"/>
      <c r="C138" s="260"/>
      <c r="D138" s="278"/>
      <c r="E138" s="260"/>
      <c r="F138" s="278"/>
      <c r="G138" s="260"/>
      <c r="H138" s="278"/>
      <c r="I138" s="260"/>
    </row>
    <row r="139" spans="1:14">
      <c r="A139" s="268">
        <f>$A$13</f>
        <v>2025</v>
      </c>
      <c r="B139" s="278"/>
      <c r="C139" s="260"/>
      <c r="D139" s="278"/>
      <c r="E139" s="260"/>
      <c r="F139" s="278"/>
      <c r="G139" s="260"/>
      <c r="H139" s="278"/>
      <c r="I139" s="260"/>
      <c r="K139" s="262" t="str">
        <f>CONCATENATE(A139," - ",A144)</f>
        <v>2025 - 2035</v>
      </c>
    </row>
    <row r="140" spans="1:14">
      <c r="A140" s="258" t="s">
        <v>141</v>
      </c>
      <c r="B140" s="278">
        <f>'Ind T6'!Q54</f>
        <v>1.2704270275182201</v>
      </c>
      <c r="C140" s="275" t="str">
        <f>CONCATENATE("(",ROUND((B140/$H142)*100,1),")")</f>
        <v>(68.4)</v>
      </c>
      <c r="D140" s="278">
        <f>'Ind T6'!R54</f>
        <v>2.2081191535599107E-2</v>
      </c>
      <c r="E140" s="275" t="str">
        <f>CONCATENATE("(",ROUND((D140/$H142)*100,1),")")</f>
        <v>(1.2)</v>
      </c>
      <c r="F140" s="278">
        <f>'Ind T6'!S54</f>
        <v>0</v>
      </c>
      <c r="G140" s="275" t="str">
        <f>CONCATENATE("(",ROUND((F140/$H142)*100,1),")")</f>
        <v>(0)</v>
      </c>
      <c r="H140" s="278">
        <f>SUM(B140,D140,F140)</f>
        <v>1.2925082190538193</v>
      </c>
      <c r="I140" s="275" t="str">
        <f>CONCATENATE("(",ROUND((H140/$H142)*100,1),")")</f>
        <v>(69.6)</v>
      </c>
      <c r="K140" s="278">
        <f>B145-B140</f>
        <v>-3.7472670674847386E-2</v>
      </c>
      <c r="L140" s="278">
        <f>D145-D140</f>
        <v>2.1424414895081928E-4</v>
      </c>
      <c r="M140" s="278">
        <f>F145-F140</f>
        <v>0</v>
      </c>
      <c r="N140" s="278">
        <f>SUM(K140:M140)</f>
        <v>-3.7258426525896567E-2</v>
      </c>
    </row>
    <row r="141" spans="1:14">
      <c r="A141" s="258" t="s">
        <v>142</v>
      </c>
      <c r="B141" s="278">
        <f>'Ind T6'!Q53</f>
        <v>0.46117664154068599</v>
      </c>
      <c r="C141" s="275" t="str">
        <f>CONCATENATE("(",ROUND((B141/$H142)*100,1),")")</f>
        <v>(24.8)</v>
      </c>
      <c r="D141" s="278">
        <f>'Ind T6'!R53</f>
        <v>0.10231513940549382</v>
      </c>
      <c r="E141" s="275" t="str">
        <f>CONCATENATE("(",ROUND((D141/$H142)*100,1),")")</f>
        <v>(5.5)</v>
      </c>
      <c r="F141" s="278">
        <f>'Ind T6'!S53</f>
        <v>0</v>
      </c>
      <c r="G141" s="275" t="str">
        <f>CONCATENATE("(",ROUND((F141/$H142)*100,1),")")</f>
        <v>(0)</v>
      </c>
      <c r="H141" s="278">
        <f t="shared" ref="H141" si="116">SUM(B141,D141,F141)</f>
        <v>0.5634917809461798</v>
      </c>
      <c r="I141" s="275" t="str">
        <f>CONCATENATE("(",ROUND((H141/$H142)*100,1),")")</f>
        <v>(30.4)</v>
      </c>
      <c r="K141" s="278">
        <f t="shared" ref="K141:K142" si="117">B146-B141</f>
        <v>9.9265306823737021E-4</v>
      </c>
      <c r="L141" s="278">
        <f t="shared" ref="L141:L142" si="118">D146-D141</f>
        <v>-1.7342265423365422E-3</v>
      </c>
      <c r="M141" s="278">
        <f t="shared" ref="M141:M142" si="119">F146-F141</f>
        <v>0</v>
      </c>
      <c r="N141" s="278">
        <f t="shared" ref="N141:N142" si="120">SUM(K141:M141)</f>
        <v>-7.4157347409917196E-4</v>
      </c>
    </row>
    <row r="142" spans="1:14">
      <c r="A142" s="258" t="s">
        <v>143</v>
      </c>
      <c r="B142" s="278">
        <f>SUM(B140:B141)</f>
        <v>1.7316036690589061</v>
      </c>
      <c r="C142" s="275" t="str">
        <f>CONCATENATE("(",ROUND((B142/$H142)*100,1),")")</f>
        <v>(93.3)</v>
      </c>
      <c r="D142" s="278">
        <f>SUM(D140:D141)</f>
        <v>0.12439633094109293</v>
      </c>
      <c r="E142" s="275" t="str">
        <f>CONCATENATE("(",ROUND((D142/$H142)*100,1),")")</f>
        <v>(6.7)</v>
      </c>
      <c r="F142" s="278">
        <f>SUM(F140:F141)</f>
        <v>0</v>
      </c>
      <c r="G142" s="275" t="str">
        <f>CONCATENATE("(",ROUND((F142/$H142)*100,1),")")</f>
        <v>(0)</v>
      </c>
      <c r="H142" s="278">
        <f>SUM(H140:H141)</f>
        <v>1.855999999999999</v>
      </c>
      <c r="I142" s="275" t="str">
        <f>CONCATENATE("(",ROUND((H142/$H142)*100,1),")")</f>
        <v>(100)</v>
      </c>
      <c r="K142" s="278">
        <f t="shared" si="117"/>
        <v>-3.6480017606610016E-2</v>
      </c>
      <c r="L142" s="278">
        <f t="shared" si="118"/>
        <v>-1.5199823933857159E-3</v>
      </c>
      <c r="M142" s="278">
        <f t="shared" si="119"/>
        <v>0</v>
      </c>
      <c r="N142" s="278">
        <f t="shared" si="120"/>
        <v>-3.7999999999995732E-2</v>
      </c>
    </row>
    <row r="143" spans="1:14">
      <c r="B143" s="278"/>
      <c r="C143" s="260"/>
      <c r="D143" s="278"/>
      <c r="E143" s="260"/>
      <c r="F143" s="278"/>
      <c r="G143" s="260"/>
      <c r="H143" s="278"/>
      <c r="I143" s="260"/>
    </row>
    <row r="144" spans="1:14">
      <c r="A144" s="268">
        <f>$A$18</f>
        <v>2035</v>
      </c>
      <c r="B144" s="278"/>
      <c r="C144" s="260"/>
      <c r="D144" s="278"/>
      <c r="E144" s="260"/>
      <c r="F144" s="278"/>
      <c r="G144" s="260"/>
      <c r="H144" s="278"/>
      <c r="I144" s="260"/>
      <c r="K144" s="262" t="str">
        <f>CONCATENATE(A134," - ",A144)</f>
        <v>2020 - 2035</v>
      </c>
    </row>
    <row r="145" spans="1:14">
      <c r="A145" s="258" t="s">
        <v>141</v>
      </c>
      <c r="B145" s="278">
        <f>'Ind T6'!V54</f>
        <v>1.2329543568433727</v>
      </c>
      <c r="C145" s="275" t="str">
        <f>CONCATENATE("(",ROUND((B145/$H147)*100,1),")")</f>
        <v>(67.8)</v>
      </c>
      <c r="D145" s="278">
        <f>'Ind T6'!W54</f>
        <v>2.2295435684549926E-2</v>
      </c>
      <c r="E145" s="275" t="str">
        <f>CONCATENATE("(",ROUND((D145/$H147)*100,1),")")</f>
        <v>(1.2)</v>
      </c>
      <c r="F145" s="278">
        <f>'Ind T6'!X54</f>
        <v>0</v>
      </c>
      <c r="G145" s="275" t="str">
        <f>CONCATENATE("(",ROUND((F145/$H147)*100,1),")")</f>
        <v>(0)</v>
      </c>
      <c r="H145" s="278">
        <f>SUM(B145,D145,F145)</f>
        <v>1.2552497925279227</v>
      </c>
      <c r="I145" s="275" t="str">
        <f>CONCATENATE("(",ROUND((H145/$H147)*100,1),")")</f>
        <v>(69)</v>
      </c>
      <c r="K145" s="278">
        <f>B145-B135</f>
        <v>-0.1222150581958108</v>
      </c>
      <c r="L145" s="278">
        <f>D145-D135</f>
        <v>-7.9821125167569076E-4</v>
      </c>
      <c r="M145" s="278">
        <f>F145-F135</f>
        <v>0</v>
      </c>
      <c r="N145" s="278">
        <f>SUM(K145:M145)</f>
        <v>-0.12301326944748649</v>
      </c>
    </row>
    <row r="146" spans="1:14">
      <c r="A146" s="258" t="s">
        <v>142</v>
      </c>
      <c r="B146" s="278">
        <f>'Ind T6'!V53</f>
        <v>0.46216929460892336</v>
      </c>
      <c r="C146" s="275" t="str">
        <f>CONCATENATE("(",ROUND((B146/$H147)*100,1),")")</f>
        <v>(25.4)</v>
      </c>
      <c r="D146" s="278">
        <f>'Ind T6'!W53</f>
        <v>0.10058091286315728</v>
      </c>
      <c r="E146" s="275" t="str">
        <f>CONCATENATE("(",ROUND((D146/$H147)*100,1),")")</f>
        <v>(5.5)</v>
      </c>
      <c r="F146" s="278">
        <f>'Ind T6'!X53</f>
        <v>0</v>
      </c>
      <c r="G146" s="275" t="str">
        <f>CONCATENATE("(",ROUND((F146/$H147)*100,1),")")</f>
        <v>(0)</v>
      </c>
      <c r="H146" s="278">
        <f t="shared" ref="H146" si="121">SUM(B146,D146,F146)</f>
        <v>0.5627502074720806</v>
      </c>
      <c r="I146" s="275" t="str">
        <f>CONCATENATE("(",ROUND((H146/$H147)*100,1),")")</f>
        <v>(31)</v>
      </c>
      <c r="K146" s="278">
        <f t="shared" ref="K146:K147" si="122">B146-B136</f>
        <v>-2.211303484073035E-2</v>
      </c>
      <c r="L146" s="278">
        <f t="shared" ref="L146:L147" si="123">D146-D136</f>
        <v>-7.873695711776818E-3</v>
      </c>
      <c r="M146" s="278">
        <f t="shared" ref="M146:M147" si="124">F146-F136</f>
        <v>0</v>
      </c>
      <c r="N146" s="278">
        <f t="shared" ref="N146:N147" si="125">SUM(K146:M146)</f>
        <v>-2.9986730552507168E-2</v>
      </c>
    </row>
    <row r="147" spans="1:14">
      <c r="A147" s="258" t="s">
        <v>143</v>
      </c>
      <c r="B147" s="278">
        <f>SUM(B145:B146)</f>
        <v>1.695123651452296</v>
      </c>
      <c r="C147" s="275" t="str">
        <f>CONCATENATE("(",ROUND((B147/$H147)*100,1),")")</f>
        <v>(93.2)</v>
      </c>
      <c r="D147" s="278">
        <f>SUM(D145:D146)</f>
        <v>0.12287634854770721</v>
      </c>
      <c r="E147" s="275" t="str">
        <f>CONCATENATE("(",ROUND((D147/$H147)*100,1),")")</f>
        <v>(6.8)</v>
      </c>
      <c r="F147" s="278">
        <f>SUM(F145:F146)</f>
        <v>0</v>
      </c>
      <c r="G147" s="275" t="str">
        <f>CONCATENATE("(",ROUND((F147/$H147)*100,1),")")</f>
        <v>(0)</v>
      </c>
      <c r="H147" s="278">
        <f>SUM(H145:H146)</f>
        <v>1.8180000000000032</v>
      </c>
      <c r="I147" s="275" t="str">
        <f>CONCATENATE("(",ROUND((H147/$H147)*100,1),")")</f>
        <v>(100)</v>
      </c>
      <c r="K147" s="278">
        <f t="shared" si="122"/>
        <v>-0.14432809303654115</v>
      </c>
      <c r="L147" s="278">
        <f t="shared" si="123"/>
        <v>-8.6719069634524915E-3</v>
      </c>
      <c r="M147" s="278">
        <f t="shared" si="124"/>
        <v>0</v>
      </c>
      <c r="N147" s="278">
        <f t="shared" si="125"/>
        <v>-0.15299999999999364</v>
      </c>
    </row>
    <row r="148" spans="1:14">
      <c r="A148" s="269"/>
      <c r="B148" s="270"/>
      <c r="C148" s="269"/>
      <c r="D148" s="270"/>
      <c r="E148" s="269"/>
      <c r="F148" s="270"/>
      <c r="G148" s="269"/>
      <c r="H148" s="270"/>
      <c r="I148" s="269"/>
      <c r="J148" s="269"/>
      <c r="K148" s="270"/>
      <c r="L148" s="270"/>
      <c r="M148" s="270"/>
      <c r="N148" s="270"/>
    </row>
    <row r="151" spans="1:14">
      <c r="C151" s="159"/>
      <c r="E151" s="159"/>
      <c r="G151" s="159"/>
      <c r="I151" s="159"/>
    </row>
    <row r="152" spans="1:14">
      <c r="A152" s="264"/>
      <c r="B152" s="265" t="s">
        <v>130</v>
      </c>
      <c r="C152" s="264"/>
      <c r="D152" s="265"/>
      <c r="E152" s="264"/>
      <c r="F152" s="265" t="str">
        <f>name!B10</f>
        <v>Water and sewerage</v>
      </c>
      <c r="G152" s="264"/>
      <c r="H152" s="267"/>
      <c r="I152" s="264"/>
      <c r="J152" s="266"/>
      <c r="K152" s="267"/>
      <c r="L152" s="267"/>
      <c r="M152" s="267"/>
      <c r="N152" s="267"/>
    </row>
    <row r="153" spans="1:14">
      <c r="N153" s="263" t="s">
        <v>131</v>
      </c>
    </row>
    <row r="154" spans="1:14">
      <c r="A154" s="159" t="s">
        <v>132</v>
      </c>
      <c r="B154" s="344" t="s">
        <v>133</v>
      </c>
      <c r="C154" s="344"/>
      <c r="D154" s="344" t="s">
        <v>134</v>
      </c>
      <c r="E154" s="344"/>
      <c r="F154" s="344" t="s">
        <v>135</v>
      </c>
      <c r="G154" s="344"/>
      <c r="H154" s="344" t="s">
        <v>117</v>
      </c>
      <c r="I154" s="344"/>
      <c r="J154" s="159"/>
      <c r="K154" s="273" t="s">
        <v>136</v>
      </c>
      <c r="L154" s="273" t="s">
        <v>137</v>
      </c>
      <c r="M154" s="273" t="s">
        <v>138</v>
      </c>
      <c r="N154" s="273" t="s">
        <v>117</v>
      </c>
    </row>
    <row r="155" spans="1:14">
      <c r="A155" s="268">
        <f>$A$8</f>
        <v>2020</v>
      </c>
      <c r="B155" s="263" t="s">
        <v>139</v>
      </c>
      <c r="C155" s="19" t="s">
        <v>140</v>
      </c>
      <c r="D155" s="263" t="s">
        <v>139</v>
      </c>
      <c r="E155" s="19" t="s">
        <v>140</v>
      </c>
      <c r="F155" s="263" t="s">
        <v>139</v>
      </c>
      <c r="G155" s="19" t="s">
        <v>140</v>
      </c>
      <c r="H155" s="263" t="s">
        <v>139</v>
      </c>
      <c r="I155" s="19" t="s">
        <v>140</v>
      </c>
      <c r="J155" s="159"/>
      <c r="K155" s="262" t="str">
        <f>CONCATENATE(A155," - ",A160)</f>
        <v>2020 - 2025</v>
      </c>
      <c r="L155" s="261"/>
      <c r="M155" s="261"/>
    </row>
    <row r="156" spans="1:14">
      <c r="A156" s="258" t="s">
        <v>141</v>
      </c>
      <c r="B156" s="278">
        <f>'Ind T6'!L63</f>
        <v>2.1070836728256914</v>
      </c>
      <c r="C156" s="275" t="str">
        <f>CONCATENATE("(",ROUND((B156/$H158)*100,1),")")</f>
        <v>(55.4)</v>
      </c>
      <c r="D156" s="278">
        <f>'Ind T6'!M63</f>
        <v>0.68329259375034346</v>
      </c>
      <c r="E156" s="275" t="str">
        <f>CONCATENATE("(",ROUND((D156/$H158)*100,1),")")</f>
        <v>(18)</v>
      </c>
      <c r="F156" s="278">
        <f>'Ind T6'!N63</f>
        <v>0</v>
      </c>
      <c r="G156" s="275" t="str">
        <f>CONCATENATE("(",ROUND((F156/$H158)*100,1),")")</f>
        <v>(0)</v>
      </c>
      <c r="H156" s="278">
        <f>SUM(B156,D156,F156)</f>
        <v>2.7903762665760348</v>
      </c>
      <c r="I156" s="275" t="str">
        <f>CONCATENATE("(",ROUND((H156/$H158)*100,1),")")</f>
        <v>(73.4)</v>
      </c>
      <c r="K156" s="278">
        <f>B161-B156</f>
        <v>3.5773324874712298E-2</v>
      </c>
      <c r="L156" s="278">
        <f>D161-D156</f>
        <v>1.9397525629242796E-2</v>
      </c>
      <c r="M156" s="278">
        <f>F161-F156</f>
        <v>0</v>
      </c>
      <c r="N156" s="278">
        <f>SUM(K156:M156)</f>
        <v>5.5170850503955093E-2</v>
      </c>
    </row>
    <row r="157" spans="1:14">
      <c r="A157" s="258" t="s">
        <v>142</v>
      </c>
      <c r="B157" s="278">
        <f>'Ind T6'!L62</f>
        <v>0.65528554267554284</v>
      </c>
      <c r="C157" s="275" t="str">
        <f>CONCATENATE("(",ROUND((B157/$H158)*100,1),")")</f>
        <v>(17.2)</v>
      </c>
      <c r="D157" s="278">
        <f>'Ind T6'!M62</f>
        <v>0.34144766531212462</v>
      </c>
      <c r="E157" s="275" t="str">
        <f>CONCATENATE("(",ROUND((D157/$H158)*100,1),")")</f>
        <v>(9)</v>
      </c>
      <c r="F157" s="278">
        <f>'Ind T6'!N62</f>
        <v>1.5890525436294843E-2</v>
      </c>
      <c r="G157" s="275" t="str">
        <f>CONCATENATE("(",ROUND((F157/$H158)*100,1),")")</f>
        <v>(0.4)</v>
      </c>
      <c r="H157" s="278">
        <f t="shared" ref="H157" si="126">SUM(B157,D157,F157)</f>
        <v>1.0126237334239623</v>
      </c>
      <c r="I157" s="275" t="str">
        <f>CONCATENATE("(",ROUND((H157/$H158)*100,1),")")</f>
        <v>(26.6)</v>
      </c>
      <c r="K157" s="278">
        <f t="shared" ref="K157:K158" si="127">B162-B157</f>
        <v>4.2236275981173854E-2</v>
      </c>
      <c r="L157" s="278">
        <f t="shared" ref="L157:L158" si="128">D162-D157</f>
        <v>1.2580935146049466E-2</v>
      </c>
      <c r="M157" s="278">
        <f t="shared" ref="M157:M158" si="129">F162-F157</f>
        <v>1.1938368823787016E-5</v>
      </c>
      <c r="N157" s="278">
        <f t="shared" ref="N157:N158" si="130">SUM(K157:M157)</f>
        <v>5.4829149496047107E-2</v>
      </c>
    </row>
    <row r="158" spans="1:14">
      <c r="A158" s="258" t="s">
        <v>143</v>
      </c>
      <c r="B158" s="278">
        <f>SUM(B156:B157)</f>
        <v>2.7623692155012343</v>
      </c>
      <c r="C158" s="275" t="str">
        <f>CONCATENATE("(",ROUND((B158/$H158)*100,1),")")</f>
        <v>(72.6)</v>
      </c>
      <c r="D158" s="278">
        <f>SUM(D156:D157)</f>
        <v>1.0247402590624681</v>
      </c>
      <c r="E158" s="275" t="str">
        <f>CONCATENATE("(",ROUND((D158/$H158)*100,1),")")</f>
        <v>(26.9)</v>
      </c>
      <c r="F158" s="278">
        <f>SUM(F156:F157)</f>
        <v>1.5890525436294843E-2</v>
      </c>
      <c r="G158" s="275" t="str">
        <f>CONCATENATE("(",ROUND((F158/$H158)*100,1),")")</f>
        <v>(0.4)</v>
      </c>
      <c r="H158" s="278">
        <f>SUM(H156:H157)</f>
        <v>3.8029999999999973</v>
      </c>
      <c r="I158" s="275" t="str">
        <f>CONCATENATE("(",ROUND((H158/$H158)*100,1),")")</f>
        <v>(100)</v>
      </c>
      <c r="K158" s="278">
        <f t="shared" si="127"/>
        <v>7.8009600855886152E-2</v>
      </c>
      <c r="L158" s="278">
        <f t="shared" si="128"/>
        <v>3.1978460775292206E-2</v>
      </c>
      <c r="M158" s="278">
        <f t="shared" si="129"/>
        <v>1.1938368823787016E-5</v>
      </c>
      <c r="N158" s="278">
        <f t="shared" si="130"/>
        <v>0.11000000000000215</v>
      </c>
    </row>
    <row r="159" spans="1:14">
      <c r="B159" s="278"/>
      <c r="C159" s="260"/>
      <c r="D159" s="278"/>
      <c r="E159" s="260"/>
      <c r="F159" s="278"/>
      <c r="G159" s="260"/>
      <c r="H159" s="278"/>
      <c r="I159" s="260"/>
    </row>
    <row r="160" spans="1:14">
      <c r="A160" s="268">
        <f>$A$13</f>
        <v>2025</v>
      </c>
      <c r="B160" s="278"/>
      <c r="C160" s="260"/>
      <c r="D160" s="278"/>
      <c r="E160" s="260"/>
      <c r="F160" s="278"/>
      <c r="G160" s="260"/>
      <c r="H160" s="278"/>
      <c r="I160" s="260"/>
      <c r="K160" s="262" t="str">
        <f>CONCATENATE(A160," - ",A165)</f>
        <v>2025 - 2035</v>
      </c>
    </row>
    <row r="161" spans="1:14">
      <c r="A161" s="258" t="s">
        <v>141</v>
      </c>
      <c r="B161" s="278">
        <f>'Ind T6'!Q63</f>
        <v>2.1428569977004037</v>
      </c>
      <c r="C161" s="275" t="str">
        <f>CONCATENATE("(",ROUND((B161/$H163)*100,1),")")</f>
        <v>(54.8)</v>
      </c>
      <c r="D161" s="278">
        <f>'Ind T6'!R63</f>
        <v>0.70269011937958625</v>
      </c>
      <c r="E161" s="275" t="str">
        <f>CONCATENATE("(",ROUND((D161/$H163)*100,1),")")</f>
        <v>(18)</v>
      </c>
      <c r="F161" s="278">
        <f>'Ind T6'!S63</f>
        <v>0</v>
      </c>
      <c r="G161" s="275" t="str">
        <f>CONCATENATE("(",ROUND((F161/$H163)*100,1),")")</f>
        <v>(0)</v>
      </c>
      <c r="H161" s="278">
        <f>SUM(B161,D161,F161)</f>
        <v>2.84554711707999</v>
      </c>
      <c r="I161" s="275" t="str">
        <f>CONCATENATE("(",ROUND((H161/$H163)*100,1),")")</f>
        <v>(72.7)</v>
      </c>
      <c r="K161" s="278">
        <f>B166-B161</f>
        <v>2.5430901872808498E-2</v>
      </c>
      <c r="L161" s="278">
        <f>D166-D161</f>
        <v>1.9543259714832617E-2</v>
      </c>
      <c r="M161" s="278">
        <f>F166-F161</f>
        <v>0</v>
      </c>
      <c r="N161" s="278">
        <f>SUM(K161:M161)</f>
        <v>4.4974161587641115E-2</v>
      </c>
    </row>
    <row r="162" spans="1:14">
      <c r="A162" s="258" t="s">
        <v>142</v>
      </c>
      <c r="B162" s="278">
        <f>'Ind T6'!Q62</f>
        <v>0.6975218186567167</v>
      </c>
      <c r="C162" s="275" t="str">
        <f>CONCATENATE("(",ROUND((B162/$H163)*100,1),")")</f>
        <v>(17.8)</v>
      </c>
      <c r="D162" s="278">
        <f>'Ind T6'!R62</f>
        <v>0.35402860045817408</v>
      </c>
      <c r="E162" s="275" t="str">
        <f>CONCATENATE("(",ROUND((D162/$H163)*100,1),")")</f>
        <v>(9)</v>
      </c>
      <c r="F162" s="278">
        <f>'Ind T6'!S62</f>
        <v>1.590246380511863E-2</v>
      </c>
      <c r="G162" s="275" t="str">
        <f>CONCATENATE("(",ROUND((F162/$H163)*100,1),")")</f>
        <v>(0.4)</v>
      </c>
      <c r="H162" s="278">
        <f t="shared" ref="H162" si="131">SUM(B162,D162,F162)</f>
        <v>1.0674528829200094</v>
      </c>
      <c r="I162" s="275" t="str">
        <f>CONCATENATE("(",ROUND((H162/$H163)*100,1),")")</f>
        <v>(27.3)</v>
      </c>
      <c r="K162" s="278">
        <f t="shared" ref="K162:K163" si="132">B167-B162</f>
        <v>7.2939840504451237E-2</v>
      </c>
      <c r="L162" s="278">
        <f t="shared" ref="L162:L163" si="133">D167-D162</f>
        <v>1.6912368361389207E-2</v>
      </c>
      <c r="M162" s="278">
        <f t="shared" ref="M162:M163" si="134">F167-F162</f>
        <v>1.7362954651167078E-4</v>
      </c>
      <c r="N162" s="278">
        <f t="shared" ref="N162:N163" si="135">SUM(K162:M162)</f>
        <v>9.0025838412352122E-2</v>
      </c>
    </row>
    <row r="163" spans="1:14">
      <c r="A163" s="258" t="s">
        <v>143</v>
      </c>
      <c r="B163" s="278">
        <f>SUM(B161:B162)</f>
        <v>2.8403788163571204</v>
      </c>
      <c r="C163" s="275" t="str">
        <f>CONCATENATE("(",ROUND((B163/$H163)*100,1),")")</f>
        <v>(72.6)</v>
      </c>
      <c r="D163" s="278">
        <f>SUM(D161:D162)</f>
        <v>1.0567187198377603</v>
      </c>
      <c r="E163" s="275" t="str">
        <f>CONCATENATE("(",ROUND((D163/$H163)*100,1),")")</f>
        <v>(27)</v>
      </c>
      <c r="F163" s="278">
        <f>SUM(F161:F162)</f>
        <v>1.590246380511863E-2</v>
      </c>
      <c r="G163" s="275" t="str">
        <f>CONCATENATE("(",ROUND((F163/$H163)*100,1),")")</f>
        <v>(0.4)</v>
      </c>
      <c r="H163" s="278">
        <f>SUM(H161:H162)</f>
        <v>3.9129999999999994</v>
      </c>
      <c r="I163" s="275" t="str">
        <f>CONCATENATE("(",ROUND((H163/$H163)*100,1),")")</f>
        <v>(100)</v>
      </c>
      <c r="K163" s="278">
        <f t="shared" si="132"/>
        <v>9.8370742377259734E-2</v>
      </c>
      <c r="L163" s="278">
        <f t="shared" si="133"/>
        <v>3.6455628076221824E-2</v>
      </c>
      <c r="M163" s="278">
        <f t="shared" si="134"/>
        <v>1.7362954651167078E-4</v>
      </c>
      <c r="N163" s="278">
        <f t="shared" si="135"/>
        <v>0.13499999999999324</v>
      </c>
    </row>
    <row r="164" spans="1:14">
      <c r="B164" s="278"/>
      <c r="C164" s="260"/>
      <c r="D164" s="278"/>
      <c r="E164" s="260"/>
      <c r="F164" s="278"/>
      <c r="G164" s="260"/>
      <c r="H164" s="278"/>
      <c r="I164" s="260"/>
    </row>
    <row r="165" spans="1:14">
      <c r="A165" s="268">
        <f>$A$18</f>
        <v>2035</v>
      </c>
      <c r="B165" s="278"/>
      <c r="C165" s="260"/>
      <c r="D165" s="278"/>
      <c r="E165" s="260"/>
      <c r="F165" s="278"/>
      <c r="G165" s="260"/>
      <c r="H165" s="278"/>
      <c r="I165" s="260"/>
      <c r="K165" s="262" t="str">
        <f>CONCATENATE(A155," - ",A165)</f>
        <v>2020 - 2035</v>
      </c>
    </row>
    <row r="166" spans="1:14">
      <c r="A166" s="258" t="s">
        <v>141</v>
      </c>
      <c r="B166" s="278">
        <f>'Ind T6'!V63</f>
        <v>2.1682878995732122</v>
      </c>
      <c r="C166" s="275" t="str">
        <f>CONCATENATE("(",ROUND((B166/$H168)*100,1),")")</f>
        <v>(53.6)</v>
      </c>
      <c r="D166" s="278">
        <f>'Ind T6'!W63</f>
        <v>0.72223337909441887</v>
      </c>
      <c r="E166" s="275" t="str">
        <f>CONCATENATE("(",ROUND((D166/$H168)*100,1),")")</f>
        <v>(17.8)</v>
      </c>
      <c r="F166" s="278">
        <f>'Ind T6'!X63</f>
        <v>0</v>
      </c>
      <c r="G166" s="275" t="str">
        <f>CONCATENATE("(",ROUND((F166/$H168)*100,1),")")</f>
        <v>(0)</v>
      </c>
      <c r="H166" s="278">
        <f>SUM(B166,D166,F166)</f>
        <v>2.8905212786676309</v>
      </c>
      <c r="I166" s="275" t="str">
        <f>CONCATENATE("(",ROUND((H166/$H168)*100,1),")")</f>
        <v>(71.4)</v>
      </c>
      <c r="K166" s="278">
        <f>B166-B156</f>
        <v>6.1204226747520796E-2</v>
      </c>
      <c r="L166" s="278">
        <f>D166-D156</f>
        <v>3.8940785344075413E-2</v>
      </c>
      <c r="M166" s="278">
        <f>F166-F156</f>
        <v>0</v>
      </c>
      <c r="N166" s="278">
        <f>SUM(K166:M166)</f>
        <v>0.10014501209159621</v>
      </c>
    </row>
    <row r="167" spans="1:14">
      <c r="A167" s="258" t="s">
        <v>142</v>
      </c>
      <c r="B167" s="278">
        <f>'Ind T6'!V62</f>
        <v>0.77046165916116793</v>
      </c>
      <c r="C167" s="275" t="str">
        <f>CONCATENATE("(",ROUND((B167/$H168)*100,1),")")</f>
        <v>(19)</v>
      </c>
      <c r="D167" s="278">
        <f>'Ind T6'!W62</f>
        <v>0.37094096881956329</v>
      </c>
      <c r="E167" s="275" t="str">
        <f>CONCATENATE("(",ROUND((D167/$H168)*100,1),")")</f>
        <v>(9.2)</v>
      </c>
      <c r="F167" s="278">
        <f>'Ind T6'!X62</f>
        <v>1.6076093351630301E-2</v>
      </c>
      <c r="G167" s="275" t="str">
        <f>CONCATENATE("(",ROUND((F167/$H168)*100,1),")")</f>
        <v>(0.4)</v>
      </c>
      <c r="H167" s="278">
        <f t="shared" ref="H167" si="136">SUM(B167,D167,F167)</f>
        <v>1.1574787213323616</v>
      </c>
      <c r="I167" s="275" t="str">
        <f>CONCATENATE("(",ROUND((H167/$H168)*100,1),")")</f>
        <v>(28.6)</v>
      </c>
      <c r="K167" s="278">
        <f t="shared" ref="K167:K168" si="137">B167-B157</f>
        <v>0.11517611648562509</v>
      </c>
      <c r="L167" s="278">
        <f t="shared" ref="L167:L168" si="138">D167-D157</f>
        <v>2.9493303507438673E-2</v>
      </c>
      <c r="M167" s="278">
        <f t="shared" ref="M167:M168" si="139">F167-F157</f>
        <v>1.855679153354578E-4</v>
      </c>
      <c r="N167" s="278">
        <f t="shared" ref="N167:N168" si="140">SUM(K167:M167)</f>
        <v>0.14485498790839924</v>
      </c>
    </row>
    <row r="168" spans="1:14">
      <c r="A168" s="258" t="s">
        <v>143</v>
      </c>
      <c r="B168" s="278">
        <f>SUM(B166:B167)</f>
        <v>2.9387495587343802</v>
      </c>
      <c r="C168" s="275" t="str">
        <f>CONCATENATE("(",ROUND((B168/$H168)*100,1),")")</f>
        <v>(72.6)</v>
      </c>
      <c r="D168" s="278">
        <f>SUM(D166:D167)</f>
        <v>1.0931743479139822</v>
      </c>
      <c r="E168" s="275" t="str">
        <f>CONCATENATE("(",ROUND((D168/$H168)*100,1),")")</f>
        <v>(27)</v>
      </c>
      <c r="F168" s="278">
        <f>SUM(F166:F167)</f>
        <v>1.6076093351630301E-2</v>
      </c>
      <c r="G168" s="275" t="str">
        <f>CONCATENATE("(",ROUND((F168/$H168)*100,1),")")</f>
        <v>(0.4)</v>
      </c>
      <c r="H168" s="278">
        <f>SUM(H166:H167)</f>
        <v>4.0479999999999929</v>
      </c>
      <c r="I168" s="275" t="str">
        <f>CONCATENATE("(",ROUND((H168/$H168)*100,1),")")</f>
        <v>(100)</v>
      </c>
      <c r="K168" s="278">
        <f t="shared" si="137"/>
        <v>0.17638034323314589</v>
      </c>
      <c r="L168" s="278">
        <f t="shared" si="138"/>
        <v>6.843408885151403E-2</v>
      </c>
      <c r="M168" s="278">
        <f t="shared" si="139"/>
        <v>1.855679153354578E-4</v>
      </c>
      <c r="N168" s="278">
        <f t="shared" si="140"/>
        <v>0.24499999999999539</v>
      </c>
    </row>
    <row r="169" spans="1:14">
      <c r="A169" s="269"/>
      <c r="B169" s="270"/>
      <c r="C169" s="269"/>
      <c r="D169" s="270"/>
      <c r="E169" s="269"/>
      <c r="F169" s="270"/>
      <c r="G169" s="269"/>
      <c r="H169" s="270"/>
      <c r="I169" s="269"/>
      <c r="J169" s="269"/>
      <c r="K169" s="270"/>
      <c r="L169" s="270"/>
      <c r="M169" s="270"/>
      <c r="N169" s="270"/>
    </row>
    <row r="173" spans="1:14">
      <c r="A173" s="264"/>
      <c r="B173" s="265" t="s">
        <v>130</v>
      </c>
      <c r="C173" s="264"/>
      <c r="D173" s="265"/>
      <c r="E173" s="264"/>
      <c r="F173" s="265" t="str">
        <f>name!B11</f>
        <v>Construction</v>
      </c>
      <c r="G173" s="264"/>
      <c r="H173" s="267"/>
      <c r="I173" s="264"/>
      <c r="J173" s="266"/>
      <c r="K173" s="267"/>
      <c r="L173" s="267"/>
      <c r="M173" s="267"/>
      <c r="N173" s="267"/>
    </row>
    <row r="174" spans="1:14">
      <c r="N174" s="263" t="s">
        <v>131</v>
      </c>
    </row>
    <row r="175" spans="1:14">
      <c r="A175" s="159" t="s">
        <v>132</v>
      </c>
      <c r="B175" s="344" t="s">
        <v>133</v>
      </c>
      <c r="C175" s="344"/>
      <c r="D175" s="344" t="s">
        <v>134</v>
      </c>
      <c r="E175" s="344"/>
      <c r="F175" s="344" t="s">
        <v>135</v>
      </c>
      <c r="G175" s="344"/>
      <c r="H175" s="344" t="s">
        <v>117</v>
      </c>
      <c r="I175" s="344"/>
      <c r="J175" s="159"/>
      <c r="K175" s="273" t="s">
        <v>136</v>
      </c>
      <c r="L175" s="273" t="s">
        <v>137</v>
      </c>
      <c r="M175" s="273" t="s">
        <v>138</v>
      </c>
      <c r="N175" s="273" t="s">
        <v>117</v>
      </c>
    </row>
    <row r="176" spans="1:14">
      <c r="A176" s="268">
        <f>$A$8</f>
        <v>2020</v>
      </c>
      <c r="B176" s="263" t="s">
        <v>139</v>
      </c>
      <c r="C176" s="19" t="s">
        <v>140</v>
      </c>
      <c r="D176" s="263" t="s">
        <v>139</v>
      </c>
      <c r="E176" s="19" t="s">
        <v>140</v>
      </c>
      <c r="F176" s="263" t="s">
        <v>139</v>
      </c>
      <c r="G176" s="19" t="s">
        <v>140</v>
      </c>
      <c r="H176" s="263" t="s">
        <v>139</v>
      </c>
      <c r="I176" s="19" t="s">
        <v>140</v>
      </c>
      <c r="J176" s="159"/>
      <c r="K176" s="262" t="str">
        <f>CONCATENATE(A176," - ",A181)</f>
        <v>2020 - 2025</v>
      </c>
      <c r="L176" s="261"/>
      <c r="M176" s="261"/>
    </row>
    <row r="177" spans="1:14">
      <c r="A177" s="258" t="s">
        <v>141</v>
      </c>
      <c r="B177" s="278">
        <f>'Ind T6'!L72</f>
        <v>14.856909048548848</v>
      </c>
      <c r="C177" s="275" t="str">
        <f>CONCATENATE("(",ROUND((B177/$H179)*100,1),")")</f>
        <v>(40.1)</v>
      </c>
      <c r="D177" s="278">
        <f>'Ind T6'!M72</f>
        <v>0.94478226683510835</v>
      </c>
      <c r="E177" s="275" t="str">
        <f>CONCATENATE("(",ROUND((D177/$H179)*100,1),")")</f>
        <v>(2.6)</v>
      </c>
      <c r="F177" s="278">
        <f>'Ind T6'!N72</f>
        <v>16.003808914012861</v>
      </c>
      <c r="G177" s="275" t="str">
        <f>CONCATENATE("(",ROUND((F177/$H179)*100,1),")")</f>
        <v>(43.2)</v>
      </c>
      <c r="H177" s="278">
        <f>SUM(B177,D177,F177)</f>
        <v>31.80550022939682</v>
      </c>
      <c r="I177" s="275" t="str">
        <f>CONCATENATE("(",ROUND((H177/$H179)*100,1),")")</f>
        <v>(85.9)</v>
      </c>
      <c r="K177" s="278">
        <f>B182-B177</f>
        <v>-0.24216845578913926</v>
      </c>
      <c r="L177" s="278">
        <f>D182-D177</f>
        <v>1.3723492002630455E-2</v>
      </c>
      <c r="M177" s="278">
        <f>F182-F177</f>
        <v>9.9483388908840453E-2</v>
      </c>
      <c r="N177" s="278">
        <f>SUM(K177:M177)</f>
        <v>-0.12896157487766835</v>
      </c>
    </row>
    <row r="178" spans="1:14">
      <c r="A178" s="258" t="s">
        <v>142</v>
      </c>
      <c r="B178" s="278">
        <f>'Ind T6'!L71</f>
        <v>2.727322096731494</v>
      </c>
      <c r="C178" s="275" t="str">
        <f>CONCATENATE("(",ROUND((B178/$H179)*100,1),")")</f>
        <v>(7.4)</v>
      </c>
      <c r="D178" s="278">
        <f>'Ind T6'!M71</f>
        <v>1.7042599367568281</v>
      </c>
      <c r="E178" s="275" t="str">
        <f>CONCATENATE("(",ROUND((D178/$H179)*100,1),")")</f>
        <v>(4.6)</v>
      </c>
      <c r="F178" s="278">
        <f>'Ind T6'!N71</f>
        <v>0.77791773711482126</v>
      </c>
      <c r="G178" s="275" t="str">
        <f>CONCATENATE("(",ROUND((F178/$H179)*100,1),")")</f>
        <v>(2.1)</v>
      </c>
      <c r="H178" s="278">
        <f t="shared" ref="H178" si="141">SUM(B178,D178,F178)</f>
        <v>5.2094997706031432</v>
      </c>
      <c r="I178" s="275" t="str">
        <f>CONCATENATE("(",ROUND((H178/$H179)*100,1),")")</f>
        <v>(14.1)</v>
      </c>
      <c r="K178" s="278">
        <f t="shared" ref="K178:K179" si="142">B183-B178</f>
        <v>1.6594091783321829E-3</v>
      </c>
      <c r="L178" s="278">
        <f t="shared" ref="L178:L179" si="143">D183-D178</f>
        <v>1.2276262753230682E-2</v>
      </c>
      <c r="M178" s="278">
        <f t="shared" ref="M178:M179" si="144">F183-F178</f>
        <v>4.0259029461390261E-3</v>
      </c>
      <c r="N178" s="278">
        <f t="shared" ref="N178:N179" si="145">SUM(K178:M178)</f>
        <v>1.7961574877701891E-2</v>
      </c>
    </row>
    <row r="179" spans="1:14">
      <c r="A179" s="258" t="s">
        <v>143</v>
      </c>
      <c r="B179" s="278">
        <f>SUM(B177:B178)</f>
        <v>17.584231145280341</v>
      </c>
      <c r="C179" s="275" t="str">
        <f>CONCATENATE("(",ROUND((B179/$H179)*100,1),")")</f>
        <v>(47.5)</v>
      </c>
      <c r="D179" s="278">
        <f>SUM(D177:D178)</f>
        <v>2.6490422035919363</v>
      </c>
      <c r="E179" s="275" t="str">
        <f>CONCATENATE("(",ROUND((D179/$H179)*100,1),")")</f>
        <v>(7.2)</v>
      </c>
      <c r="F179" s="278">
        <f>SUM(F177:F178)</f>
        <v>16.781726651127684</v>
      </c>
      <c r="G179" s="275" t="str">
        <f>CONCATENATE("(",ROUND((F179/$H179)*100,1),")")</f>
        <v>(45.3)</v>
      </c>
      <c r="H179" s="278">
        <f>SUM(H177:H178)</f>
        <v>37.014999999999965</v>
      </c>
      <c r="I179" s="275" t="str">
        <f>CONCATENATE("(",ROUND((H179/$H179)*100,1),")")</f>
        <v>(100)</v>
      </c>
      <c r="K179" s="278">
        <f t="shared" si="142"/>
        <v>-0.24050904661080708</v>
      </c>
      <c r="L179" s="278">
        <f t="shared" si="143"/>
        <v>2.5999754755861471E-2</v>
      </c>
      <c r="M179" s="278">
        <f t="shared" si="144"/>
        <v>0.10350929185497648</v>
      </c>
      <c r="N179" s="278">
        <f t="shared" si="145"/>
        <v>-0.11099999999996912</v>
      </c>
    </row>
    <row r="180" spans="1:14">
      <c r="B180" s="278"/>
      <c r="C180" s="260"/>
      <c r="D180" s="278"/>
      <c r="E180" s="260"/>
      <c r="F180" s="278"/>
      <c r="G180" s="260"/>
      <c r="H180" s="278"/>
      <c r="I180" s="260"/>
    </row>
    <row r="181" spans="1:14">
      <c r="A181" s="268">
        <f>$A$13</f>
        <v>2025</v>
      </c>
      <c r="B181" s="278"/>
      <c r="C181" s="260"/>
      <c r="D181" s="278"/>
      <c r="E181" s="260"/>
      <c r="F181" s="278"/>
      <c r="G181" s="260"/>
      <c r="H181" s="278"/>
      <c r="I181" s="260"/>
      <c r="K181" s="262" t="str">
        <f>CONCATENATE(A181," - ",A186)</f>
        <v>2025 - 2035</v>
      </c>
    </row>
    <row r="182" spans="1:14">
      <c r="A182" s="258" t="s">
        <v>141</v>
      </c>
      <c r="B182" s="278">
        <f>'Ind T6'!Q72</f>
        <v>14.614740592759709</v>
      </c>
      <c r="C182" s="275" t="str">
        <f>CONCATENATE("(",ROUND((B182/$H184)*100,1),")")</f>
        <v>(39.6)</v>
      </c>
      <c r="D182" s="278">
        <f>'Ind T6'!R72</f>
        <v>0.95850575883773881</v>
      </c>
      <c r="E182" s="275" t="str">
        <f>CONCATENATE("(",ROUND((D182/$H184)*100,1),")")</f>
        <v>(2.6)</v>
      </c>
      <c r="F182" s="278">
        <f>'Ind T6'!S72</f>
        <v>16.103292302921702</v>
      </c>
      <c r="G182" s="275" t="str">
        <f>CONCATENATE("(",ROUND((F182/$H184)*100,1),")")</f>
        <v>(43.6)</v>
      </c>
      <c r="H182" s="278">
        <f>SUM(B182,D182,F182)</f>
        <v>31.676538654519149</v>
      </c>
      <c r="I182" s="275" t="str">
        <f>CONCATENATE("(",ROUND((H182/$H184)*100,1),")")</f>
        <v>(85.8)</v>
      </c>
      <c r="K182" s="278">
        <f>B187-B182</f>
        <v>-0.26885926017585682</v>
      </c>
      <c r="L182" s="278">
        <f>D187-D182</f>
        <v>4.8420116641208821E-2</v>
      </c>
      <c r="M182" s="278">
        <f>F187-F182</f>
        <v>0.58053555879783048</v>
      </c>
      <c r="N182" s="278">
        <f>SUM(K182:M182)</f>
        <v>0.36009641526318248</v>
      </c>
    </row>
    <row r="183" spans="1:14">
      <c r="A183" s="258" t="s">
        <v>142</v>
      </c>
      <c r="B183" s="278">
        <f>'Ind T6'!Q71</f>
        <v>2.7289815059098261</v>
      </c>
      <c r="C183" s="275" t="str">
        <f>CONCATENATE("(",ROUND((B183/$H184)*100,1),")")</f>
        <v>(7.4)</v>
      </c>
      <c r="D183" s="278">
        <f>'Ind T6'!R71</f>
        <v>1.7165361995100588</v>
      </c>
      <c r="E183" s="275" t="str">
        <f>CONCATENATE("(",ROUND((D183/$H184)*100,1),")")</f>
        <v>(4.7)</v>
      </c>
      <c r="F183" s="278">
        <f>'Ind T6'!S71</f>
        <v>0.78194364006096029</v>
      </c>
      <c r="G183" s="275" t="str">
        <f>CONCATENATE("(",ROUND((F183/$H184)*100,1),")")</f>
        <v>(2.1)</v>
      </c>
      <c r="H183" s="278">
        <f t="shared" ref="H183" si="146">SUM(B183,D183,F183)</f>
        <v>5.2274613454808456</v>
      </c>
      <c r="I183" s="275" t="str">
        <f>CONCATENATE("(",ROUND((H183/$H184)*100,1),")")</f>
        <v>(14.2)</v>
      </c>
      <c r="K183" s="278">
        <f t="shared" ref="K183:K184" si="147">B188-B183</f>
        <v>7.5018675516936639E-2</v>
      </c>
      <c r="L183" s="278">
        <f t="shared" ref="L183:L184" si="148">D188-D183</f>
        <v>6.6788630859265563E-2</v>
      </c>
      <c r="M183" s="278">
        <f t="shared" ref="M183:M184" si="149">F188-F183</f>
        <v>4.4096278360557739E-2</v>
      </c>
      <c r="N183" s="278">
        <f t="shared" ref="N183:N184" si="150">SUM(K183:M183)</f>
        <v>0.18590358473675994</v>
      </c>
    </row>
    <row r="184" spans="1:14">
      <c r="A184" s="258" t="s">
        <v>143</v>
      </c>
      <c r="B184" s="278">
        <f>SUM(B182:B183)</f>
        <v>17.343722098669534</v>
      </c>
      <c r="C184" s="275" t="str">
        <f>CONCATENATE("(",ROUND((B184/$H184)*100,1),")")</f>
        <v>(47)</v>
      </c>
      <c r="D184" s="278">
        <f>SUM(D182:D183)</f>
        <v>2.6750419583477978</v>
      </c>
      <c r="E184" s="275" t="str">
        <f>CONCATENATE("(",ROUND((D184/$H184)*100,1),")")</f>
        <v>(7.2)</v>
      </c>
      <c r="F184" s="278">
        <f>SUM(F182:F183)</f>
        <v>16.885235942982661</v>
      </c>
      <c r="G184" s="275" t="str">
        <f>CONCATENATE("(",ROUND((F184/$H184)*100,1),")")</f>
        <v>(45.8)</v>
      </c>
      <c r="H184" s="278">
        <f>SUM(H182:H183)</f>
        <v>36.903999999999996</v>
      </c>
      <c r="I184" s="275" t="str">
        <f>CONCATENATE("(",ROUND((H184/$H184)*100,1),")")</f>
        <v>(100)</v>
      </c>
      <c r="K184" s="278">
        <f t="shared" si="147"/>
        <v>-0.1938405846589184</v>
      </c>
      <c r="L184" s="278">
        <f t="shared" si="148"/>
        <v>0.11520874750047394</v>
      </c>
      <c r="M184" s="278">
        <f t="shared" si="149"/>
        <v>0.62463183715838966</v>
      </c>
      <c r="N184" s="278">
        <f t="shared" si="150"/>
        <v>0.5459999999999452</v>
      </c>
    </row>
    <row r="185" spans="1:14">
      <c r="B185" s="278"/>
      <c r="C185" s="260"/>
      <c r="D185" s="278"/>
      <c r="E185" s="260"/>
      <c r="F185" s="278"/>
      <c r="G185" s="260"/>
      <c r="H185" s="278"/>
      <c r="I185" s="260"/>
    </row>
    <row r="186" spans="1:14">
      <c r="A186" s="268">
        <f>$A$18</f>
        <v>2035</v>
      </c>
      <c r="B186" s="278"/>
      <c r="C186" s="260"/>
      <c r="D186" s="278"/>
      <c r="E186" s="260"/>
      <c r="F186" s="278"/>
      <c r="G186" s="260"/>
      <c r="H186" s="278"/>
      <c r="I186" s="260"/>
      <c r="K186" s="262" t="str">
        <f>CONCATENATE(A176," - ",A186)</f>
        <v>2020 - 2035</v>
      </c>
    </row>
    <row r="187" spans="1:14">
      <c r="A187" s="258" t="s">
        <v>141</v>
      </c>
      <c r="B187" s="278">
        <f>'Ind T6'!V72</f>
        <v>14.345881332583852</v>
      </c>
      <c r="C187" s="275" t="str">
        <f>CONCATENATE("(",ROUND((B187/$H189)*100,1),")")</f>
        <v>(38.3)</v>
      </c>
      <c r="D187" s="278">
        <f>'Ind T6'!W72</f>
        <v>1.0069258754789476</v>
      </c>
      <c r="E187" s="275" t="str">
        <f>CONCATENATE("(",ROUND((D187/$H189)*100,1),")")</f>
        <v>(2.7)</v>
      </c>
      <c r="F187" s="278">
        <f>'Ind T6'!X72</f>
        <v>16.683827861719532</v>
      </c>
      <c r="G187" s="275" t="str">
        <f>CONCATENATE("(",ROUND((F187/$H189)*100,1),")")</f>
        <v>(44.5)</v>
      </c>
      <c r="H187" s="278">
        <f>SUM(B187,D187,F187)</f>
        <v>32.036635069782335</v>
      </c>
      <c r="I187" s="275" t="str">
        <f>CONCATENATE("(",ROUND((H187/$H189)*100,1),")")</f>
        <v>(85.5)</v>
      </c>
      <c r="K187" s="278">
        <f>B187-B177</f>
        <v>-0.51102771596499608</v>
      </c>
      <c r="L187" s="278">
        <f>D187-D177</f>
        <v>6.2143608643839277E-2</v>
      </c>
      <c r="M187" s="278">
        <f>F187-F177</f>
        <v>0.68001894770667093</v>
      </c>
      <c r="N187" s="278">
        <f>SUM(K187:M187)</f>
        <v>0.23113484038551413</v>
      </c>
    </row>
    <row r="188" spans="1:14">
      <c r="A188" s="258" t="s">
        <v>142</v>
      </c>
      <c r="B188" s="278">
        <f>'Ind T6'!V71</f>
        <v>2.8040001814267628</v>
      </c>
      <c r="C188" s="275" t="str">
        <f>CONCATENATE("(",ROUND((B188/$H189)*100,1),")")</f>
        <v>(7.5)</v>
      </c>
      <c r="D188" s="278">
        <f>'Ind T6'!W71</f>
        <v>1.7833248303693243</v>
      </c>
      <c r="E188" s="275" t="str">
        <f>CONCATENATE("(",ROUND((D188/$H189)*100,1),")")</f>
        <v>(4.8)</v>
      </c>
      <c r="F188" s="278">
        <f>'Ind T6'!X71</f>
        <v>0.82603991842151803</v>
      </c>
      <c r="G188" s="275" t="str">
        <f>CONCATENATE("(",ROUND((F188/$H189)*100,1),")")</f>
        <v>(2.2)</v>
      </c>
      <c r="H188" s="278">
        <f t="shared" ref="H188" si="151">SUM(B188,D188,F188)</f>
        <v>5.4133649302176057</v>
      </c>
      <c r="I188" s="275" t="str">
        <f>CONCATENATE("(",ROUND((H188/$H189)*100,1),")")</f>
        <v>(14.5)</v>
      </c>
      <c r="K188" s="278">
        <f t="shared" ref="K188:K189" si="152">B188-B178</f>
        <v>7.6678084695268822E-2</v>
      </c>
      <c r="L188" s="278">
        <f t="shared" ref="L188:L189" si="153">D188-D178</f>
        <v>7.9064893612496245E-2</v>
      </c>
      <c r="M188" s="278">
        <f t="shared" ref="M188:M189" si="154">F188-F178</f>
        <v>4.8122181306696765E-2</v>
      </c>
      <c r="N188" s="278">
        <f t="shared" ref="N188:N189" si="155">SUM(K188:M188)</f>
        <v>0.20386515961446183</v>
      </c>
    </row>
    <row r="189" spans="1:14">
      <c r="A189" s="258" t="s">
        <v>143</v>
      </c>
      <c r="B189" s="278">
        <f>SUM(B187:B188)</f>
        <v>17.149881514010616</v>
      </c>
      <c r="C189" s="275" t="str">
        <f>CONCATENATE("(",ROUND((B189/$H189)*100,1),")")</f>
        <v>(45.8)</v>
      </c>
      <c r="D189" s="278">
        <f>SUM(D187:D188)</f>
        <v>2.7902507058482717</v>
      </c>
      <c r="E189" s="275" t="str">
        <f>CONCATENATE("(",ROUND((D189/$H189)*100,1),")")</f>
        <v>(7.5)</v>
      </c>
      <c r="F189" s="278">
        <f>SUM(F187:F188)</f>
        <v>17.50986778014105</v>
      </c>
      <c r="G189" s="275" t="str">
        <f>CONCATENATE("(",ROUND((F189/$H189)*100,1),")")</f>
        <v>(46.8)</v>
      </c>
      <c r="H189" s="278">
        <f>SUM(H187:H188)</f>
        <v>37.449999999999939</v>
      </c>
      <c r="I189" s="275" t="str">
        <f>CONCATENATE("(",ROUND((H189/$H189)*100,1),")")</f>
        <v>(100)</v>
      </c>
      <c r="K189" s="278">
        <f t="shared" si="152"/>
        <v>-0.43434963126972548</v>
      </c>
      <c r="L189" s="278">
        <f t="shared" si="153"/>
        <v>0.14120850225633541</v>
      </c>
      <c r="M189" s="278">
        <f t="shared" si="154"/>
        <v>0.72814112901336614</v>
      </c>
      <c r="N189" s="278">
        <f t="shared" si="155"/>
        <v>0.43499999999997607</v>
      </c>
    </row>
    <row r="190" spans="1:14">
      <c r="A190" s="269"/>
      <c r="B190" s="270"/>
      <c r="C190" s="269"/>
      <c r="D190" s="270"/>
      <c r="E190" s="269"/>
      <c r="F190" s="270"/>
      <c r="G190" s="269"/>
      <c r="H190" s="270"/>
      <c r="I190" s="269"/>
      <c r="J190" s="269"/>
      <c r="K190" s="270"/>
      <c r="L190" s="270"/>
      <c r="M190" s="270"/>
      <c r="N190" s="270"/>
    </row>
    <row r="194" spans="1:14">
      <c r="A194" s="264"/>
      <c r="B194" s="265" t="s">
        <v>130</v>
      </c>
      <c r="C194" s="264"/>
      <c r="D194" s="265"/>
      <c r="E194" s="264"/>
      <c r="F194" s="265" t="str">
        <f>name!B12</f>
        <v>Wholesale and retail trade</v>
      </c>
      <c r="G194" s="264"/>
      <c r="H194" s="267"/>
      <c r="I194" s="264"/>
      <c r="J194" s="266"/>
      <c r="K194" s="267"/>
      <c r="L194" s="267"/>
      <c r="M194" s="267"/>
      <c r="N194" s="267"/>
    </row>
    <row r="195" spans="1:14">
      <c r="N195" s="263" t="s">
        <v>131</v>
      </c>
    </row>
    <row r="196" spans="1:14">
      <c r="A196" s="159" t="s">
        <v>132</v>
      </c>
      <c r="B196" s="344" t="s">
        <v>133</v>
      </c>
      <c r="C196" s="344"/>
      <c r="D196" s="344" t="s">
        <v>134</v>
      </c>
      <c r="E196" s="344"/>
      <c r="F196" s="344" t="s">
        <v>135</v>
      </c>
      <c r="G196" s="344"/>
      <c r="H196" s="344" t="s">
        <v>117</v>
      </c>
      <c r="I196" s="344"/>
      <c r="J196" s="159"/>
      <c r="K196" s="273" t="s">
        <v>136</v>
      </c>
      <c r="L196" s="273" t="s">
        <v>137</v>
      </c>
      <c r="M196" s="273" t="s">
        <v>138</v>
      </c>
      <c r="N196" s="273" t="s">
        <v>117</v>
      </c>
    </row>
    <row r="197" spans="1:14">
      <c r="A197" s="268">
        <f>$A$8</f>
        <v>2020</v>
      </c>
      <c r="B197" s="263" t="s">
        <v>139</v>
      </c>
      <c r="C197" s="19" t="s">
        <v>140</v>
      </c>
      <c r="D197" s="263" t="s">
        <v>139</v>
      </c>
      <c r="E197" s="19" t="s">
        <v>140</v>
      </c>
      <c r="F197" s="263" t="s">
        <v>139</v>
      </c>
      <c r="G197" s="19" t="s">
        <v>140</v>
      </c>
      <c r="H197" s="263" t="s">
        <v>139</v>
      </c>
      <c r="I197" s="19" t="s">
        <v>140</v>
      </c>
      <c r="J197" s="159"/>
      <c r="K197" s="262" t="str">
        <f>CONCATENATE(A197," - ",A202)</f>
        <v>2020 - 2025</v>
      </c>
      <c r="L197" s="261"/>
      <c r="M197" s="261"/>
    </row>
    <row r="198" spans="1:14">
      <c r="A198" s="258" t="s">
        <v>141</v>
      </c>
      <c r="B198" s="278">
        <f>'Ind T6'!L81</f>
        <v>33.177553672226054</v>
      </c>
      <c r="C198" s="275" t="str">
        <f>CONCATENATE("(",ROUND((B198/$H200)*100,1),")")</f>
        <v>(38.1)</v>
      </c>
      <c r="D198" s="278">
        <f>'Ind T6'!M81</f>
        <v>11.944242187181947</v>
      </c>
      <c r="E198" s="275" t="str">
        <f>CONCATENATE("(",ROUND((D198/$H200)*100,1),")")</f>
        <v>(13.7)</v>
      </c>
      <c r="F198" s="278">
        <f>'Ind T6'!N81</f>
        <v>2.7608915698618275</v>
      </c>
      <c r="G198" s="275" t="str">
        <f>CONCATENATE("(",ROUND((F198/$H200)*100,1),")")</f>
        <v>(3.2)</v>
      </c>
      <c r="H198" s="278">
        <f>SUM(B198,D198,F198)</f>
        <v>47.882687429269829</v>
      </c>
      <c r="I198" s="275" t="str">
        <f>CONCATENATE("(",ROUND((H198/$H200)*100,1),")")</f>
        <v>(55)</v>
      </c>
      <c r="K198" s="278">
        <f>B203-B198</f>
        <v>0.56799492764904613</v>
      </c>
      <c r="L198" s="278">
        <f>D203-D198</f>
        <v>5.0587468151102044E-2</v>
      </c>
      <c r="M198" s="278">
        <f>F203-F198</f>
        <v>4.6840452208782857E-2</v>
      </c>
      <c r="N198" s="278">
        <f>SUM(K198:M198)</f>
        <v>0.66542284800893103</v>
      </c>
    </row>
    <row r="199" spans="1:14">
      <c r="A199" s="258" t="s">
        <v>142</v>
      </c>
      <c r="B199" s="278">
        <f>'Ind T6'!L80</f>
        <v>16.01549415985583</v>
      </c>
      <c r="C199" s="275" t="str">
        <f>CONCATENATE("(",ROUND((B199/$H200)*100,1),")")</f>
        <v>(18.4)</v>
      </c>
      <c r="D199" s="278">
        <f>'Ind T6'!M80</f>
        <v>20.753541608585969</v>
      </c>
      <c r="E199" s="275" t="str">
        <f>CONCATENATE("(",ROUND((D199/$H200)*100,1),")")</f>
        <v>(23.8)</v>
      </c>
      <c r="F199" s="278">
        <f>'Ind T6'!N80</f>
        <v>2.4222768022884913</v>
      </c>
      <c r="G199" s="275" t="str">
        <f>CONCATENATE("(",ROUND((F199/$H200)*100,1),")")</f>
        <v>(2.8)</v>
      </c>
      <c r="H199" s="278">
        <f t="shared" ref="H199" si="156">SUM(B199,D199,F199)</f>
        <v>39.19131257073029</v>
      </c>
      <c r="I199" s="275" t="str">
        <f>CONCATENATE("(",ROUND((H199/$H200)*100,1),")")</f>
        <v>(45)</v>
      </c>
      <c r="K199" s="278">
        <f t="shared" ref="K199:K200" si="157">B204-B199</f>
        <v>0.76002050796238763</v>
      </c>
      <c r="L199" s="278">
        <f t="shared" ref="L199:L200" si="158">D204-D199</f>
        <v>-0.70132235824714328</v>
      </c>
      <c r="M199" s="278">
        <f t="shared" ref="M199:M200" si="159">F204-F199</f>
        <v>8.0879002275650258E-2</v>
      </c>
      <c r="N199" s="278">
        <f t="shared" ref="N199:N200" si="160">SUM(K199:M199)</f>
        <v>0.1395771519908946</v>
      </c>
    </row>
    <row r="200" spans="1:14">
      <c r="A200" s="258" t="s">
        <v>143</v>
      </c>
      <c r="B200" s="278">
        <f>SUM(B198:B199)</f>
        <v>49.193047832081888</v>
      </c>
      <c r="C200" s="275" t="str">
        <f>CONCATENATE("(",ROUND((B200/$H200)*100,1),")")</f>
        <v>(56.5)</v>
      </c>
      <c r="D200" s="278">
        <f>SUM(D198:D199)</f>
        <v>32.697783795767918</v>
      </c>
      <c r="E200" s="275" t="str">
        <f>CONCATENATE("(",ROUND((D200/$H200)*100,1),")")</f>
        <v>(37.6)</v>
      </c>
      <c r="F200" s="278">
        <f>SUM(F198:F199)</f>
        <v>5.1831683721503188</v>
      </c>
      <c r="G200" s="275" t="str">
        <f>CONCATENATE("(",ROUND((F200/$H200)*100,1),")")</f>
        <v>(6)</v>
      </c>
      <c r="H200" s="278">
        <f>SUM(H198:H199)</f>
        <v>87.074000000000126</v>
      </c>
      <c r="I200" s="275" t="str">
        <f>CONCATENATE("(",ROUND((H200/$H200)*100,1),")")</f>
        <v>(100)</v>
      </c>
      <c r="K200" s="278">
        <f t="shared" si="157"/>
        <v>1.3280154356114338</v>
      </c>
      <c r="L200" s="278">
        <f t="shared" si="158"/>
        <v>-0.65073489009604657</v>
      </c>
      <c r="M200" s="278">
        <f t="shared" si="159"/>
        <v>0.12771945448443311</v>
      </c>
      <c r="N200" s="278">
        <f t="shared" si="160"/>
        <v>0.8049999999998203</v>
      </c>
    </row>
    <row r="201" spans="1:14">
      <c r="B201" s="278"/>
      <c r="C201" s="260"/>
      <c r="D201" s="278"/>
      <c r="E201" s="260"/>
      <c r="F201" s="278"/>
      <c r="G201" s="260"/>
      <c r="H201" s="278"/>
      <c r="I201" s="260"/>
    </row>
    <row r="202" spans="1:14">
      <c r="A202" s="268">
        <f>$A$13</f>
        <v>2025</v>
      </c>
      <c r="B202" s="278"/>
      <c r="C202" s="260"/>
      <c r="D202" s="278"/>
      <c r="E202" s="260"/>
      <c r="F202" s="278"/>
      <c r="G202" s="260"/>
      <c r="H202" s="278"/>
      <c r="I202" s="260"/>
      <c r="K202" s="262" t="str">
        <f>CONCATENATE(A202," - ",A207)</f>
        <v>2025 - 2035</v>
      </c>
    </row>
    <row r="203" spans="1:14">
      <c r="A203" s="258" t="s">
        <v>141</v>
      </c>
      <c r="B203" s="278">
        <f>'Ind T6'!Q81</f>
        <v>33.7455485998751</v>
      </c>
      <c r="C203" s="275" t="str">
        <f>CONCATENATE("(",ROUND((B203/$H205)*100,1),")")</f>
        <v>(38.4)</v>
      </c>
      <c r="D203" s="278">
        <f>'Ind T6'!R81</f>
        <v>11.994829655333049</v>
      </c>
      <c r="E203" s="275" t="str">
        <f>CONCATENATE("(",ROUND((D203/$H205)*100,1),")")</f>
        <v>(13.6)</v>
      </c>
      <c r="F203" s="278">
        <f>'Ind T6'!S81</f>
        <v>2.8077320220706103</v>
      </c>
      <c r="G203" s="275" t="str">
        <f>CONCATENATE("(",ROUND((F203/$H205)*100,1),")")</f>
        <v>(3.2)</v>
      </c>
      <c r="H203" s="278">
        <f>SUM(B203,D203,F203)</f>
        <v>48.548110277278759</v>
      </c>
      <c r="I203" s="275" t="str">
        <f>CONCATENATE("(",ROUND((H203/$H205)*100,1),")")</f>
        <v>(55.2)</v>
      </c>
      <c r="K203" s="278">
        <f>B208-B203</f>
        <v>0.48831712753008816</v>
      </c>
      <c r="L203" s="278">
        <f>D208-D203</f>
        <v>0.14721458565728263</v>
      </c>
      <c r="M203" s="278">
        <f>F208-F203</f>
        <v>6.4492604800682862E-2</v>
      </c>
      <c r="N203" s="278">
        <f>SUM(K203:M203)</f>
        <v>0.70002431798805365</v>
      </c>
    </row>
    <row r="204" spans="1:14">
      <c r="A204" s="258" t="s">
        <v>142</v>
      </c>
      <c r="B204" s="278">
        <f>'Ind T6'!Q80</f>
        <v>16.775514667818218</v>
      </c>
      <c r="C204" s="275" t="str">
        <f>CONCATENATE("(",ROUND((B204/$H205)*100,1),")")</f>
        <v>(19.1)</v>
      </c>
      <c r="D204" s="278">
        <f>'Ind T6'!R80</f>
        <v>20.052219250338826</v>
      </c>
      <c r="E204" s="275" t="str">
        <f>CONCATENATE("(",ROUND((D204/$H205)*100,1),")")</f>
        <v>(22.8)</v>
      </c>
      <c r="F204" s="278">
        <f>'Ind T6'!S80</f>
        <v>2.5031558045641416</v>
      </c>
      <c r="G204" s="275" t="str">
        <f>CONCATENATE("(",ROUND((F204/$H205)*100,1),")")</f>
        <v>(2.8)</v>
      </c>
      <c r="H204" s="278">
        <f t="shared" ref="H204" si="161">SUM(B204,D204,F204)</f>
        <v>39.330889722721189</v>
      </c>
      <c r="I204" s="275" t="str">
        <f>CONCATENATE("(",ROUND((H204/$H205)*100,1),")")</f>
        <v>(44.8)</v>
      </c>
      <c r="K204" s="278">
        <f t="shared" ref="K204:K205" si="162">B209-B204</f>
        <v>1.3716062523651473</v>
      </c>
      <c r="L204" s="278">
        <f t="shared" ref="L204:L205" si="163">D209-D204</f>
        <v>-1.2846788842890469</v>
      </c>
      <c r="M204" s="278">
        <f t="shared" ref="M204:M205" si="164">F209-F204</f>
        <v>0.17704831393576059</v>
      </c>
      <c r="N204" s="278">
        <f t="shared" ref="N204:N205" si="165">SUM(K204:M204)</f>
        <v>0.26397568201186106</v>
      </c>
    </row>
    <row r="205" spans="1:14">
      <c r="A205" s="258" t="s">
        <v>143</v>
      </c>
      <c r="B205" s="278">
        <f>SUM(B203:B204)</f>
        <v>50.521063267693322</v>
      </c>
      <c r="C205" s="275" t="str">
        <f>CONCATENATE("(",ROUND((B205/$H205)*100,1),")")</f>
        <v>(57.5)</v>
      </c>
      <c r="D205" s="278">
        <f>SUM(D203:D204)</f>
        <v>32.047048905671872</v>
      </c>
      <c r="E205" s="275" t="str">
        <f>CONCATENATE("(",ROUND((D205/$H205)*100,1),")")</f>
        <v>(36.5)</v>
      </c>
      <c r="F205" s="278">
        <f>SUM(F203:F204)</f>
        <v>5.3108878266347519</v>
      </c>
      <c r="G205" s="275" t="str">
        <f>CONCATENATE("(",ROUND((F205/$H205)*100,1),")")</f>
        <v>(6)</v>
      </c>
      <c r="H205" s="278">
        <f>SUM(H203:H204)</f>
        <v>87.878999999999948</v>
      </c>
      <c r="I205" s="275" t="str">
        <f>CONCATENATE("(",ROUND((H205/$H205)*100,1),")")</f>
        <v>(100)</v>
      </c>
      <c r="K205" s="278">
        <f t="shared" si="162"/>
        <v>1.8599233798952355</v>
      </c>
      <c r="L205" s="278">
        <f t="shared" si="163"/>
        <v>-1.1374642986317625</v>
      </c>
      <c r="M205" s="278">
        <f t="shared" si="164"/>
        <v>0.24154091873644301</v>
      </c>
      <c r="N205" s="278">
        <f t="shared" si="165"/>
        <v>0.96399999999991604</v>
      </c>
    </row>
    <row r="206" spans="1:14">
      <c r="B206" s="278"/>
      <c r="C206" s="260"/>
      <c r="D206" s="278"/>
      <c r="E206" s="260"/>
      <c r="F206" s="278"/>
      <c r="G206" s="260"/>
      <c r="H206" s="278"/>
      <c r="I206" s="260"/>
    </row>
    <row r="207" spans="1:14">
      <c r="A207" s="268">
        <f>$A$18</f>
        <v>2035</v>
      </c>
      <c r="B207" s="278"/>
      <c r="C207" s="260"/>
      <c r="D207" s="278"/>
      <c r="E207" s="260"/>
      <c r="F207" s="278"/>
      <c r="G207" s="260"/>
      <c r="H207" s="278"/>
      <c r="I207" s="260"/>
      <c r="K207" s="262" t="str">
        <f>CONCATENATE(A197," - ",A207)</f>
        <v>2020 - 2035</v>
      </c>
    </row>
    <row r="208" spans="1:14">
      <c r="A208" s="258" t="s">
        <v>141</v>
      </c>
      <c r="B208" s="278">
        <f>'Ind T6'!V81</f>
        <v>34.233865727405188</v>
      </c>
      <c r="C208" s="275" t="str">
        <f>CONCATENATE("(",ROUND((B208/$H210)*100,1),")")</f>
        <v>(38.5)</v>
      </c>
      <c r="D208" s="278">
        <f>'Ind T6'!W81</f>
        <v>12.142044240990332</v>
      </c>
      <c r="E208" s="275" t="str">
        <f>CONCATENATE("(",ROUND((D208/$H210)*100,1),")")</f>
        <v>(13.7)</v>
      </c>
      <c r="F208" s="278">
        <f>'Ind T6'!X81</f>
        <v>2.8722246268712932</v>
      </c>
      <c r="G208" s="275" t="str">
        <f>CONCATENATE("(",ROUND((F208/$H210)*100,1),")")</f>
        <v>(3.2)</v>
      </c>
      <c r="H208" s="278">
        <f>SUM(B208,D208,F208)</f>
        <v>49.248134595266812</v>
      </c>
      <c r="I208" s="275" t="str">
        <f>CONCATENATE("(",ROUND((H208/$H210)*100,1),")")</f>
        <v>(55.4)</v>
      </c>
      <c r="K208" s="278">
        <f>B208-B198</f>
        <v>1.0563120551791343</v>
      </c>
      <c r="L208" s="278">
        <f>D208-D198</f>
        <v>0.19780205380838467</v>
      </c>
      <c r="M208" s="278">
        <f>F208-F198</f>
        <v>0.11133305700946572</v>
      </c>
      <c r="N208" s="278">
        <f>SUM(K208:M208)</f>
        <v>1.3654471659969847</v>
      </c>
    </row>
    <row r="209" spans="1:14">
      <c r="A209" s="258" t="s">
        <v>142</v>
      </c>
      <c r="B209" s="278">
        <f>'Ind T6'!V80</f>
        <v>18.147120920183365</v>
      </c>
      <c r="C209" s="275" t="str">
        <f>CONCATENATE("(",ROUND((B209/$H210)*100,1),")")</f>
        <v>(20.4)</v>
      </c>
      <c r="D209" s="278">
        <f>'Ind T6'!W80</f>
        <v>18.767540366049779</v>
      </c>
      <c r="E209" s="275" t="str">
        <f>CONCATENATE("(",ROUND((D209/$H210)*100,1),")")</f>
        <v>(21.1)</v>
      </c>
      <c r="F209" s="278">
        <f>'Ind T6'!X80</f>
        <v>2.6802041184999021</v>
      </c>
      <c r="G209" s="275" t="str">
        <f>CONCATENATE("(",ROUND((F209/$H210)*100,1),")")</f>
        <v>(3)</v>
      </c>
      <c r="H209" s="278">
        <f t="shared" ref="H209" si="166">SUM(B209,D209,F209)</f>
        <v>39.594865404733042</v>
      </c>
      <c r="I209" s="275" t="str">
        <f>CONCATENATE("(",ROUND((H209/$H210)*100,1),")")</f>
        <v>(44.6)</v>
      </c>
      <c r="K209" s="278">
        <f t="shared" ref="K209:K210" si="167">B209-B199</f>
        <v>2.131626760327535</v>
      </c>
      <c r="L209" s="278">
        <f t="shared" ref="L209:L210" si="168">D209-D199</f>
        <v>-1.9860012425361901</v>
      </c>
      <c r="M209" s="278">
        <f t="shared" ref="M209:M210" si="169">F209-F199</f>
        <v>0.25792731621141085</v>
      </c>
      <c r="N209" s="278">
        <f t="shared" ref="N209:N210" si="170">SUM(K209:M209)</f>
        <v>0.40355283400275566</v>
      </c>
    </row>
    <row r="210" spans="1:14">
      <c r="A210" s="258" t="s">
        <v>143</v>
      </c>
      <c r="B210" s="278">
        <f>SUM(B208:B209)</f>
        <v>52.380986647588557</v>
      </c>
      <c r="C210" s="275" t="str">
        <f>CONCATENATE("(",ROUND((B210/$H210)*100,1),")")</f>
        <v>(59)</v>
      </c>
      <c r="D210" s="278">
        <f>SUM(D208:D209)</f>
        <v>30.909584607040109</v>
      </c>
      <c r="E210" s="275" t="str">
        <f>CONCATENATE("(",ROUND((D210/$H210)*100,1),")")</f>
        <v>(34.8)</v>
      </c>
      <c r="F210" s="278">
        <f>SUM(F208:F209)</f>
        <v>5.5524287453711949</v>
      </c>
      <c r="G210" s="275" t="str">
        <f>CONCATENATE("(",ROUND((F210/$H210)*100,1),")")</f>
        <v>(6.2)</v>
      </c>
      <c r="H210" s="278">
        <f>SUM(H208:H209)</f>
        <v>88.842999999999847</v>
      </c>
      <c r="I210" s="275" t="str">
        <f>CONCATENATE("(",ROUND((H210/$H210)*100,1),")")</f>
        <v>(100)</v>
      </c>
      <c r="K210" s="278">
        <f t="shared" si="167"/>
        <v>3.1879388155066692</v>
      </c>
      <c r="L210" s="278">
        <f t="shared" si="168"/>
        <v>-1.788199188727809</v>
      </c>
      <c r="M210" s="278">
        <f t="shared" si="169"/>
        <v>0.36926037322087613</v>
      </c>
      <c r="N210" s="278">
        <f t="shared" si="170"/>
        <v>1.7689999999997363</v>
      </c>
    </row>
    <row r="211" spans="1:14">
      <c r="A211" s="269"/>
      <c r="B211" s="270"/>
      <c r="C211" s="269"/>
      <c r="D211" s="270"/>
      <c r="E211" s="269"/>
      <c r="F211" s="270"/>
      <c r="G211" s="269"/>
      <c r="H211" s="270"/>
      <c r="I211" s="269"/>
      <c r="J211" s="269"/>
      <c r="K211" s="270"/>
      <c r="L211" s="270"/>
      <c r="M211" s="270"/>
      <c r="N211" s="270"/>
    </row>
    <row r="215" spans="1:14">
      <c r="A215" s="264"/>
      <c r="B215" s="265" t="s">
        <v>130</v>
      </c>
      <c r="C215" s="264"/>
      <c r="D215" s="265"/>
      <c r="E215" s="264"/>
      <c r="F215" s="265" t="str">
        <f>name!B13</f>
        <v>Transport and storage</v>
      </c>
      <c r="G215" s="264"/>
      <c r="H215" s="267"/>
      <c r="I215" s="264"/>
      <c r="J215" s="266"/>
      <c r="K215" s="267"/>
      <c r="L215" s="267"/>
      <c r="M215" s="267"/>
      <c r="N215" s="267"/>
    </row>
    <row r="216" spans="1:14">
      <c r="N216" s="263" t="s">
        <v>131</v>
      </c>
    </row>
    <row r="217" spans="1:14">
      <c r="A217" s="159" t="s">
        <v>132</v>
      </c>
      <c r="B217" s="344" t="s">
        <v>133</v>
      </c>
      <c r="C217" s="344"/>
      <c r="D217" s="344" t="s">
        <v>134</v>
      </c>
      <c r="E217" s="344"/>
      <c r="F217" s="344" t="s">
        <v>135</v>
      </c>
      <c r="G217" s="344"/>
      <c r="H217" s="344" t="s">
        <v>117</v>
      </c>
      <c r="I217" s="344"/>
      <c r="J217" s="159"/>
      <c r="K217" s="273" t="s">
        <v>136</v>
      </c>
      <c r="L217" s="273" t="s">
        <v>137</v>
      </c>
      <c r="M217" s="273" t="s">
        <v>138</v>
      </c>
      <c r="N217" s="273" t="s">
        <v>117</v>
      </c>
    </row>
    <row r="218" spans="1:14">
      <c r="A218" s="268">
        <f>$A$8</f>
        <v>2020</v>
      </c>
      <c r="B218" s="263" t="s">
        <v>139</v>
      </c>
      <c r="C218" s="19" t="s">
        <v>140</v>
      </c>
      <c r="D218" s="263" t="s">
        <v>139</v>
      </c>
      <c r="E218" s="19" t="s">
        <v>140</v>
      </c>
      <c r="F218" s="263" t="s">
        <v>139</v>
      </c>
      <c r="G218" s="19" t="s">
        <v>140</v>
      </c>
      <c r="H218" s="263" t="s">
        <v>139</v>
      </c>
      <c r="I218" s="19" t="s">
        <v>140</v>
      </c>
      <c r="J218" s="159"/>
      <c r="K218" s="262" t="str">
        <f>CONCATENATE(A218," - ",A223)</f>
        <v>2020 - 2025</v>
      </c>
      <c r="L218" s="261"/>
      <c r="M218" s="261"/>
    </row>
    <row r="219" spans="1:14">
      <c r="A219" s="258" t="s">
        <v>141</v>
      </c>
      <c r="B219" s="278">
        <f>'Ind T6'!L90</f>
        <v>17.726323308590771</v>
      </c>
      <c r="C219" s="275" t="str">
        <f>CONCATENATE("(",ROUND((B219/$H221)*100,1),")")</f>
        <v>(53.8)</v>
      </c>
      <c r="D219" s="278">
        <f>'Ind T6'!M90</f>
        <v>3.2812700992073967</v>
      </c>
      <c r="E219" s="275" t="str">
        <f>CONCATENATE("(",ROUND((D219/$H221)*100,1),")")</f>
        <v>(10)</v>
      </c>
      <c r="F219" s="278">
        <f>'Ind T6'!N90</f>
        <v>4.7266726285213307</v>
      </c>
      <c r="G219" s="275" t="str">
        <f>CONCATENATE("(",ROUND((F219/$H221)*100,1),")")</f>
        <v>(14.3)</v>
      </c>
      <c r="H219" s="278">
        <f>SUM(B219,D219,F219)</f>
        <v>25.7342660363195</v>
      </c>
      <c r="I219" s="275" t="str">
        <f>CONCATENATE("(",ROUND((H219/$H221)*100,1),")")</f>
        <v>(78.1)</v>
      </c>
      <c r="K219" s="278">
        <f>B224-B219</f>
        <v>1.4099522965980071</v>
      </c>
      <c r="L219" s="278">
        <f>D224-D219</f>
        <v>0.28418871610748875</v>
      </c>
      <c r="M219" s="278">
        <f>F224-F219</f>
        <v>0.39476218704273247</v>
      </c>
      <c r="N219" s="278">
        <f>SUM(K219:M219)</f>
        <v>2.0889031997482284</v>
      </c>
    </row>
    <row r="220" spans="1:14">
      <c r="A220" s="258" t="s">
        <v>142</v>
      </c>
      <c r="B220" s="278">
        <f>'Ind T6'!L89</f>
        <v>4.2303370113508283</v>
      </c>
      <c r="C220" s="275" t="str">
        <f>CONCATENATE("(",ROUND((B220/$H221)*100,1),")")</f>
        <v>(12.8)</v>
      </c>
      <c r="D220" s="278">
        <f>'Ind T6'!M89</f>
        <v>2.8419969283682058</v>
      </c>
      <c r="E220" s="275" t="str">
        <f>CONCATENATE("(",ROUND((D220/$H221)*100,1),")")</f>
        <v>(8.6)</v>
      </c>
      <c r="F220" s="278">
        <f>'Ind T6'!N89</f>
        <v>0.14140002396142731</v>
      </c>
      <c r="G220" s="275" t="str">
        <f>CONCATENATE("(",ROUND((F220/$H221)*100,1),")")</f>
        <v>(0.4)</v>
      </c>
      <c r="H220" s="278">
        <f t="shared" ref="H220" si="171">SUM(B220,D220,F220)</f>
        <v>7.2137339636804612</v>
      </c>
      <c r="I220" s="275" t="str">
        <f>CONCATENATE("(",ROUND((H220/$H221)*100,1),")")</f>
        <v>(21.9)</v>
      </c>
      <c r="K220" s="278">
        <f t="shared" ref="K220:K221" si="172">B225-B220</f>
        <v>0.5226569539493946</v>
      </c>
      <c r="L220" s="278">
        <f t="shared" ref="L220:L221" si="173">D225-D220</f>
        <v>0.3974648522926314</v>
      </c>
      <c r="M220" s="278">
        <f t="shared" ref="M220:M221" si="174">F225-F220</f>
        <v>6.9749940097778573E-3</v>
      </c>
      <c r="N220" s="278">
        <f t="shared" ref="N220:N221" si="175">SUM(K220:M220)</f>
        <v>0.92709680025180385</v>
      </c>
    </row>
    <row r="221" spans="1:14">
      <c r="A221" s="258" t="s">
        <v>143</v>
      </c>
      <c r="B221" s="278">
        <f>SUM(B219:B220)</f>
        <v>21.956660319941598</v>
      </c>
      <c r="C221" s="275" t="str">
        <f>CONCATENATE("(",ROUND((B221/$H221)*100,1),")")</f>
        <v>(66.6)</v>
      </c>
      <c r="D221" s="278">
        <f>SUM(D219:D220)</f>
        <v>6.1232670275756025</v>
      </c>
      <c r="E221" s="275" t="str">
        <f>CONCATENATE("(",ROUND((D221/$H221)*100,1),")")</f>
        <v>(18.6)</v>
      </c>
      <c r="F221" s="278">
        <f>SUM(F219:F220)</f>
        <v>4.8680726524827582</v>
      </c>
      <c r="G221" s="275" t="str">
        <f>CONCATENATE("(",ROUND((F221/$H221)*100,1),")")</f>
        <v>(14.8)</v>
      </c>
      <c r="H221" s="278">
        <f>SUM(H219:H220)</f>
        <v>32.947999999999965</v>
      </c>
      <c r="I221" s="275" t="str">
        <f>CONCATENATE("(",ROUND((H221/$H221)*100,1),")")</f>
        <v>(100)</v>
      </c>
      <c r="K221" s="278">
        <f t="shared" si="172"/>
        <v>1.9326092505474044</v>
      </c>
      <c r="L221" s="278">
        <f t="shared" si="173"/>
        <v>0.68165356840012059</v>
      </c>
      <c r="M221" s="278">
        <f t="shared" si="174"/>
        <v>0.40173718105251055</v>
      </c>
      <c r="N221" s="278">
        <f t="shared" si="175"/>
        <v>3.0160000000000355</v>
      </c>
    </row>
    <row r="222" spans="1:14">
      <c r="B222" s="278"/>
      <c r="C222" s="260"/>
      <c r="D222" s="278"/>
      <c r="E222" s="260"/>
      <c r="F222" s="278"/>
      <c r="G222" s="260"/>
      <c r="H222" s="278"/>
      <c r="I222" s="260"/>
    </row>
    <row r="223" spans="1:14">
      <c r="A223" s="268">
        <f>$A$13</f>
        <v>2025</v>
      </c>
      <c r="B223" s="278"/>
      <c r="C223" s="260"/>
      <c r="D223" s="278"/>
      <c r="E223" s="260"/>
      <c r="F223" s="278"/>
      <c r="G223" s="260"/>
      <c r="H223" s="278"/>
      <c r="I223" s="260"/>
      <c r="K223" s="262" t="str">
        <f>CONCATENATE(A223," - ",A228)</f>
        <v>2025 - 2035</v>
      </c>
    </row>
    <row r="224" spans="1:14">
      <c r="A224" s="258" t="s">
        <v>141</v>
      </c>
      <c r="B224" s="278">
        <f>'Ind T6'!Q90</f>
        <v>19.136275605188779</v>
      </c>
      <c r="C224" s="275" t="str">
        <f>CONCATENATE("(",ROUND((B224/$H226)*100,1),")")</f>
        <v>(53.2)</v>
      </c>
      <c r="D224" s="278">
        <f>'Ind T6'!R90</f>
        <v>3.5654588153148854</v>
      </c>
      <c r="E224" s="275" t="str">
        <f>CONCATENATE("(",ROUND((D224/$H226)*100,1),")")</f>
        <v>(9.9)</v>
      </c>
      <c r="F224" s="278">
        <f>'Ind T6'!S90</f>
        <v>5.1214348155640632</v>
      </c>
      <c r="G224" s="275" t="str">
        <f>CONCATENATE("(",ROUND((F224/$H226)*100,1),")")</f>
        <v>(14.2)</v>
      </c>
      <c r="H224" s="278">
        <f>SUM(B224,D224,F224)</f>
        <v>27.823169236067727</v>
      </c>
      <c r="I224" s="275" t="str">
        <f>CONCATENATE("(",ROUND((H224/$H226)*100,1),")")</f>
        <v>(77.4)</v>
      </c>
      <c r="K224" s="278">
        <f>B229-B224</f>
        <v>0.36647481338568255</v>
      </c>
      <c r="L224" s="278">
        <f>D229-D224</f>
        <v>0.26191461915731074</v>
      </c>
      <c r="M224" s="278">
        <f>F229-F224</f>
        <v>0.34459065145334478</v>
      </c>
      <c r="N224" s="278">
        <f>SUM(K224:M224)</f>
        <v>0.97298008399633806</v>
      </c>
    </row>
    <row r="225" spans="1:14">
      <c r="A225" s="258" t="s">
        <v>142</v>
      </c>
      <c r="B225" s="278">
        <f>'Ind T6'!Q89</f>
        <v>4.7529939653002229</v>
      </c>
      <c r="C225" s="275" t="str">
        <f>CONCATENATE("(",ROUND((B225/$H226)*100,1),")")</f>
        <v>(13.2)</v>
      </c>
      <c r="D225" s="278">
        <f>'Ind T6'!R89</f>
        <v>3.2394617806608372</v>
      </c>
      <c r="E225" s="275" t="str">
        <f>CONCATENATE("(",ROUND((D225/$H226)*100,1),")")</f>
        <v>(9)</v>
      </c>
      <c r="F225" s="278">
        <f>'Ind T6'!S89</f>
        <v>0.14837501797120517</v>
      </c>
      <c r="G225" s="275" t="str">
        <f>CONCATENATE("(",ROUND((F225/$H226)*100,1),")")</f>
        <v>(0.4)</v>
      </c>
      <c r="H225" s="278">
        <f t="shared" ref="H225" si="176">SUM(B225,D225,F225)</f>
        <v>8.1408307639322643</v>
      </c>
      <c r="I225" s="275" t="str">
        <f>CONCATENATE("(",ROUND((H225/$H226)*100,1),")")</f>
        <v>(22.6)</v>
      </c>
      <c r="K225" s="278">
        <f t="shared" ref="K225:K226" si="177">B230-B225</f>
        <v>0.40741765269837416</v>
      </c>
      <c r="L225" s="278">
        <f t="shared" ref="L225:L226" si="178">D230-D225</f>
        <v>0.41474825154467609</v>
      </c>
      <c r="M225" s="278">
        <f t="shared" ref="M225:M226" si="179">F230-F225</f>
        <v>1.8540117606596074E-3</v>
      </c>
      <c r="N225" s="278">
        <f t="shared" ref="N225:N226" si="180">SUM(K225:M225)</f>
        <v>0.82401991600370983</v>
      </c>
    </row>
    <row r="226" spans="1:14">
      <c r="A226" s="258" t="s">
        <v>143</v>
      </c>
      <c r="B226" s="278">
        <f>SUM(B224:B225)</f>
        <v>23.889269570489002</v>
      </c>
      <c r="C226" s="275" t="str">
        <f>CONCATENATE("(",ROUND((B226/$H226)*100,1),")")</f>
        <v>(66.4)</v>
      </c>
      <c r="D226" s="278">
        <f>SUM(D224:D225)</f>
        <v>6.8049205959757231</v>
      </c>
      <c r="E226" s="275" t="str">
        <f>CONCATENATE("(",ROUND((D226/$H226)*100,1),")")</f>
        <v>(18.9)</v>
      </c>
      <c r="F226" s="278">
        <f>SUM(F224:F225)</f>
        <v>5.2698098335352688</v>
      </c>
      <c r="G226" s="275" t="str">
        <f>CONCATENATE("(",ROUND((F226/$H226)*100,1),")")</f>
        <v>(14.7)</v>
      </c>
      <c r="H226" s="278">
        <f>SUM(H224:H225)</f>
        <v>35.963999999999992</v>
      </c>
      <c r="I226" s="275" t="str">
        <f>CONCATENATE("(",ROUND((H226/$H226)*100,1),")")</f>
        <v>(100)</v>
      </c>
      <c r="K226" s="278">
        <f t="shared" si="177"/>
        <v>0.77389246608405671</v>
      </c>
      <c r="L226" s="278">
        <f t="shared" si="178"/>
        <v>0.67666287070198639</v>
      </c>
      <c r="M226" s="278">
        <f t="shared" si="179"/>
        <v>0.34644466321400369</v>
      </c>
      <c r="N226" s="278">
        <f t="shared" si="180"/>
        <v>1.7970000000000468</v>
      </c>
    </row>
    <row r="227" spans="1:14">
      <c r="B227" s="278"/>
      <c r="C227" s="260"/>
      <c r="D227" s="278"/>
      <c r="E227" s="260"/>
      <c r="F227" s="278"/>
      <c r="G227" s="260"/>
      <c r="H227" s="278"/>
      <c r="I227" s="260"/>
    </row>
    <row r="228" spans="1:14">
      <c r="A228" s="268">
        <f>$A$18</f>
        <v>2035</v>
      </c>
      <c r="B228" s="278"/>
      <c r="C228" s="260"/>
      <c r="D228" s="278"/>
      <c r="E228" s="260"/>
      <c r="F228" s="278"/>
      <c r="G228" s="260"/>
      <c r="H228" s="278"/>
      <c r="I228" s="260"/>
      <c r="K228" s="262" t="str">
        <f>CONCATENATE(A218," - ",A228)</f>
        <v>2020 - 2035</v>
      </c>
    </row>
    <row r="229" spans="1:14">
      <c r="A229" s="258" t="s">
        <v>141</v>
      </c>
      <c r="B229" s="278">
        <f>'Ind T6'!V90</f>
        <v>19.502750418574461</v>
      </c>
      <c r="C229" s="275" t="str">
        <f>CONCATENATE("(",ROUND((B229/$H231)*100,1),")")</f>
        <v>(51.6)</v>
      </c>
      <c r="D229" s="278">
        <f>'Ind T6'!W90</f>
        <v>3.8273734344721961</v>
      </c>
      <c r="E229" s="275" t="str">
        <f>CONCATENATE("(",ROUND((D229/$H231)*100,1),")")</f>
        <v>(10.1)</v>
      </c>
      <c r="F229" s="278">
        <f>'Ind T6'!X90</f>
        <v>5.466025467017408</v>
      </c>
      <c r="G229" s="275" t="str">
        <f>CONCATENATE("(",ROUND((F229/$H231)*100,1),")")</f>
        <v>(14.5)</v>
      </c>
      <c r="H229" s="278">
        <f>SUM(B229,D229,F229)</f>
        <v>28.796149320064067</v>
      </c>
      <c r="I229" s="275" t="str">
        <f>CONCATENATE("(",ROUND((H229/$H231)*100,1),")")</f>
        <v>(76.3)</v>
      </c>
      <c r="K229" s="278">
        <f>B229-B219</f>
        <v>1.7764271099836897</v>
      </c>
      <c r="L229" s="278">
        <f>D229-D219</f>
        <v>0.54610333526479948</v>
      </c>
      <c r="M229" s="278">
        <f>F229-F219</f>
        <v>0.73935283849607725</v>
      </c>
      <c r="N229" s="278">
        <f>SUM(K229:M229)</f>
        <v>3.0618832837445664</v>
      </c>
    </row>
    <row r="230" spans="1:14">
      <c r="A230" s="258" t="s">
        <v>142</v>
      </c>
      <c r="B230" s="278">
        <f>'Ind T6'!V89</f>
        <v>5.160411617998597</v>
      </c>
      <c r="C230" s="275" t="str">
        <f>CONCATENATE("(",ROUND((B230/$H231)*100,1),")")</f>
        <v>(13.7)</v>
      </c>
      <c r="D230" s="278">
        <f>'Ind T6'!W89</f>
        <v>3.6542100322055133</v>
      </c>
      <c r="E230" s="275" t="str">
        <f>CONCATENATE("(",ROUND((D230/$H231)*100,1),")")</f>
        <v>(9.7)</v>
      </c>
      <c r="F230" s="278">
        <f>'Ind T6'!X89</f>
        <v>0.15022902973186478</v>
      </c>
      <c r="G230" s="275" t="str">
        <f>CONCATENATE("(",ROUND((F230/$H231)*100,1),")")</f>
        <v>(0.4)</v>
      </c>
      <c r="H230" s="278">
        <f t="shared" ref="H230" si="181">SUM(B230,D230,F230)</f>
        <v>8.9648506799359744</v>
      </c>
      <c r="I230" s="275" t="str">
        <f>CONCATENATE("(",ROUND((H230/$H231)*100,1),")")</f>
        <v>(23.7)</v>
      </c>
      <c r="K230" s="278">
        <f t="shared" ref="K230:K231" si="182">B230-B220</f>
        <v>0.93007460664776875</v>
      </c>
      <c r="L230" s="278">
        <f t="shared" ref="L230:L231" si="183">D230-D220</f>
        <v>0.81221310383730749</v>
      </c>
      <c r="M230" s="278">
        <f t="shared" ref="M230:M231" si="184">F230-F220</f>
        <v>8.8290057704374647E-3</v>
      </c>
      <c r="N230" s="278">
        <f t="shared" ref="N230:N231" si="185">SUM(K230:M230)</f>
        <v>1.7511167162555137</v>
      </c>
    </row>
    <row r="231" spans="1:14">
      <c r="A231" s="258" t="s">
        <v>143</v>
      </c>
      <c r="B231" s="278">
        <f>SUM(B229:B230)</f>
        <v>24.663162036573059</v>
      </c>
      <c r="C231" s="275" t="str">
        <f>CONCATENATE("(",ROUND((B231/$H231)*100,1),")")</f>
        <v>(65.3)</v>
      </c>
      <c r="D231" s="278">
        <f>SUM(D229:D230)</f>
        <v>7.4815834666777095</v>
      </c>
      <c r="E231" s="275" t="str">
        <f>CONCATENATE("(",ROUND((D231/$H231)*100,1),")")</f>
        <v>(19.8)</v>
      </c>
      <c r="F231" s="278">
        <f>SUM(F229:F230)</f>
        <v>5.6162544967492725</v>
      </c>
      <c r="G231" s="275" t="str">
        <f>CONCATENATE("(",ROUND((F231/$H231)*100,1),")")</f>
        <v>(14.9)</v>
      </c>
      <c r="H231" s="278">
        <f>SUM(H229:H230)</f>
        <v>37.761000000000038</v>
      </c>
      <c r="I231" s="275" t="str">
        <f>CONCATENATE("(",ROUND((H231/$H231)*100,1),")")</f>
        <v>(100)</v>
      </c>
      <c r="K231" s="278">
        <f t="shared" si="182"/>
        <v>2.7065017166314611</v>
      </c>
      <c r="L231" s="278">
        <f t="shared" si="183"/>
        <v>1.358316439102107</v>
      </c>
      <c r="M231" s="278">
        <f t="shared" si="184"/>
        <v>0.74818184426651424</v>
      </c>
      <c r="N231" s="278">
        <f t="shared" si="185"/>
        <v>4.8130000000000823</v>
      </c>
    </row>
    <row r="232" spans="1:14">
      <c r="A232" s="269"/>
      <c r="B232" s="270"/>
      <c r="C232" s="269"/>
      <c r="D232" s="270"/>
      <c r="E232" s="269"/>
      <c r="F232" s="270"/>
      <c r="G232" s="269"/>
      <c r="H232" s="270"/>
      <c r="I232" s="269"/>
      <c r="J232" s="269"/>
      <c r="K232" s="270"/>
      <c r="L232" s="270"/>
      <c r="M232" s="270"/>
      <c r="N232" s="270"/>
    </row>
    <row r="236" spans="1:14">
      <c r="A236" s="264"/>
      <c r="B236" s="265" t="s">
        <v>130</v>
      </c>
      <c r="C236" s="264"/>
      <c r="D236" s="265"/>
      <c r="E236" s="264"/>
      <c r="F236" s="265" t="str">
        <f>name!B14</f>
        <v>Accommodation and food</v>
      </c>
      <c r="G236" s="264"/>
      <c r="H236" s="267"/>
      <c r="I236" s="264"/>
      <c r="J236" s="266"/>
      <c r="K236" s="267"/>
      <c r="L236" s="267"/>
      <c r="M236" s="267"/>
      <c r="N236" s="267"/>
    </row>
    <row r="237" spans="1:14">
      <c r="N237" s="263" t="s">
        <v>131</v>
      </c>
    </row>
    <row r="238" spans="1:14">
      <c r="A238" s="159" t="s">
        <v>132</v>
      </c>
      <c r="B238" s="344" t="s">
        <v>133</v>
      </c>
      <c r="C238" s="344"/>
      <c r="D238" s="344" t="s">
        <v>134</v>
      </c>
      <c r="E238" s="344"/>
      <c r="F238" s="344" t="s">
        <v>135</v>
      </c>
      <c r="G238" s="344"/>
      <c r="H238" s="344" t="s">
        <v>117</v>
      </c>
      <c r="I238" s="344"/>
      <c r="J238" s="159"/>
      <c r="K238" s="273" t="s">
        <v>136</v>
      </c>
      <c r="L238" s="273" t="s">
        <v>137</v>
      </c>
      <c r="M238" s="273" t="s">
        <v>138</v>
      </c>
      <c r="N238" s="273" t="s">
        <v>117</v>
      </c>
    </row>
    <row r="239" spans="1:14">
      <c r="A239" s="268">
        <f>$A$8</f>
        <v>2020</v>
      </c>
      <c r="B239" s="263" t="s">
        <v>139</v>
      </c>
      <c r="C239" s="19" t="s">
        <v>140</v>
      </c>
      <c r="D239" s="263" t="s">
        <v>139</v>
      </c>
      <c r="E239" s="19" t="s">
        <v>140</v>
      </c>
      <c r="F239" s="263" t="s">
        <v>139</v>
      </c>
      <c r="G239" s="19" t="s">
        <v>140</v>
      </c>
      <c r="H239" s="263" t="s">
        <v>139</v>
      </c>
      <c r="I239" s="19" t="s">
        <v>140</v>
      </c>
      <c r="J239" s="159"/>
      <c r="K239" s="262" t="str">
        <f>CONCATENATE(A239," - ",A244)</f>
        <v>2020 - 2025</v>
      </c>
      <c r="L239" s="261"/>
      <c r="M239" s="261"/>
    </row>
    <row r="240" spans="1:14">
      <c r="A240" s="258" t="s">
        <v>141</v>
      </c>
      <c r="B240" s="278">
        <f>'Ind T6'!L99</f>
        <v>5.170048077548083</v>
      </c>
      <c r="C240" s="275" t="str">
        <f>CONCATENATE("(",ROUND((B240/$H242)*100,1),")")</f>
        <v>(20.9)</v>
      </c>
      <c r="D240" s="278">
        <f>'Ind T6'!M99</f>
        <v>5.5002548305967149</v>
      </c>
      <c r="E240" s="275" t="str">
        <f>CONCATENATE("(",ROUND((D240/$H242)*100,1),")")</f>
        <v>(22.3)</v>
      </c>
      <c r="F240" s="278">
        <f>'Ind T6'!N99</f>
        <v>0.50036637846677168</v>
      </c>
      <c r="G240" s="275" t="str">
        <f>CONCATENATE("(",ROUND((F240/$H242)*100,1),")")</f>
        <v>(2)</v>
      </c>
      <c r="H240" s="278">
        <f>SUM(B240,D240,F240)</f>
        <v>11.17066928661157</v>
      </c>
      <c r="I240" s="275" t="str">
        <f>CONCATENATE("(",ROUND((H240/$H242)*100,1),")")</f>
        <v>(45.2)</v>
      </c>
      <c r="K240" s="278">
        <f>B245-B240</f>
        <v>0.31991401413052323</v>
      </c>
      <c r="L240" s="278">
        <f>D245-D240</f>
        <v>0.35566897361892291</v>
      </c>
      <c r="M240" s="278">
        <f>F245-F240</f>
        <v>1.8068205836371698E-2</v>
      </c>
      <c r="N240" s="278">
        <f>SUM(K240:M240)</f>
        <v>0.69365119358581784</v>
      </c>
    </row>
    <row r="241" spans="1:14">
      <c r="A241" s="258" t="s">
        <v>142</v>
      </c>
      <c r="B241" s="278">
        <f>'Ind T6'!L98</f>
        <v>4.401093764301204</v>
      </c>
      <c r="C241" s="275" t="str">
        <f>CONCATENATE("(",ROUND((B241/$H242)*100,1),")")</f>
        <v>(17.8)</v>
      </c>
      <c r="D241" s="278">
        <f>'Ind T6'!M98</f>
        <v>8.3459116396121971</v>
      </c>
      <c r="E241" s="275" t="str">
        <f>CONCATENATE("(",ROUND((D241/$H242)*100,1),")")</f>
        <v>(33.8)</v>
      </c>
      <c r="F241" s="278">
        <f>'Ind T6'!N98</f>
        <v>0.78432530947503565</v>
      </c>
      <c r="G241" s="275" t="str">
        <f>CONCATENATE("(",ROUND((F241/$H242)*100,1),")")</f>
        <v>(3.2)</v>
      </c>
      <c r="H241" s="278">
        <f t="shared" ref="H241" si="186">SUM(B241,D241,F241)</f>
        <v>13.531330713388437</v>
      </c>
      <c r="I241" s="275" t="str">
        <f>CONCATENATE("(",ROUND((H241/$H242)*100,1),")")</f>
        <v>(54.8)</v>
      </c>
      <c r="K241" s="278">
        <f t="shared" ref="K241:K242" si="187">B246-B241</f>
        <v>0.26991333355848557</v>
      </c>
      <c r="L241" s="278">
        <f t="shared" ref="L241:L242" si="188">D246-D241</f>
        <v>0.47525415339859478</v>
      </c>
      <c r="M241" s="278">
        <f t="shared" ref="M241:M242" si="189">F246-F241</f>
        <v>2.6181319457140417E-2</v>
      </c>
      <c r="N241" s="278">
        <f t="shared" ref="N241:N242" si="190">SUM(K241:M241)</f>
        <v>0.77134880641422077</v>
      </c>
    </row>
    <row r="242" spans="1:14">
      <c r="A242" s="258" t="s">
        <v>143</v>
      </c>
      <c r="B242" s="278">
        <f>SUM(B240:B241)</f>
        <v>9.5711418418492862</v>
      </c>
      <c r="C242" s="275" t="str">
        <f>CONCATENATE("(",ROUND((B242/$H242)*100,1),")")</f>
        <v>(38.7)</v>
      </c>
      <c r="D242" s="278">
        <f>SUM(D240:D241)</f>
        <v>13.846166470208912</v>
      </c>
      <c r="E242" s="275" t="str">
        <f>CONCATENATE("(",ROUND((D242/$H242)*100,1),")")</f>
        <v>(56.1)</v>
      </c>
      <c r="F242" s="278">
        <f>SUM(F240:F241)</f>
        <v>1.2846916879418073</v>
      </c>
      <c r="G242" s="275" t="str">
        <f>CONCATENATE("(",ROUND((F242/$H242)*100,1),")")</f>
        <v>(5.2)</v>
      </c>
      <c r="H242" s="278">
        <f>SUM(H240:H241)</f>
        <v>24.702000000000005</v>
      </c>
      <c r="I242" s="275" t="str">
        <f>CONCATENATE("(",ROUND((H242/$H242)*100,1),")")</f>
        <v>(100)</v>
      </c>
      <c r="K242" s="278">
        <f t="shared" si="187"/>
        <v>0.58982734768900968</v>
      </c>
      <c r="L242" s="278">
        <f t="shared" si="188"/>
        <v>0.83092312701751858</v>
      </c>
      <c r="M242" s="278">
        <f t="shared" si="189"/>
        <v>4.4249525293512226E-2</v>
      </c>
      <c r="N242" s="278">
        <f t="shared" si="190"/>
        <v>1.4650000000000405</v>
      </c>
    </row>
    <row r="243" spans="1:14">
      <c r="B243" s="278"/>
      <c r="C243" s="260"/>
      <c r="D243" s="278"/>
      <c r="E243" s="260"/>
      <c r="F243" s="278"/>
      <c r="G243" s="260"/>
      <c r="H243" s="278"/>
      <c r="I243" s="260"/>
    </row>
    <row r="244" spans="1:14">
      <c r="A244" s="268">
        <f>$A$13</f>
        <v>2025</v>
      </c>
      <c r="B244" s="278"/>
      <c r="C244" s="260"/>
      <c r="D244" s="278"/>
      <c r="E244" s="260"/>
      <c r="F244" s="278"/>
      <c r="G244" s="260"/>
      <c r="H244" s="278"/>
      <c r="I244" s="260"/>
      <c r="K244" s="262" t="str">
        <f>CONCATENATE(A244," - ",A249)</f>
        <v>2025 - 2035</v>
      </c>
    </row>
    <row r="245" spans="1:14">
      <c r="A245" s="258" t="s">
        <v>141</v>
      </c>
      <c r="B245" s="278">
        <f>'Ind T6'!Q99</f>
        <v>5.4899620916786063</v>
      </c>
      <c r="C245" s="275" t="str">
        <f>CONCATENATE("(",ROUND((B245/$H247)*100,1),")")</f>
        <v>(21)</v>
      </c>
      <c r="D245" s="278">
        <f>'Ind T6'!R99</f>
        <v>5.8559238042156379</v>
      </c>
      <c r="E245" s="275" t="str">
        <f>CONCATENATE("(",ROUND((D245/$H247)*100,1),")")</f>
        <v>(22.4)</v>
      </c>
      <c r="F245" s="278">
        <f>'Ind T6'!S99</f>
        <v>0.51843458430314338</v>
      </c>
      <c r="G245" s="275" t="str">
        <f>CONCATENATE("(",ROUND((F245/$H247)*100,1),")")</f>
        <v>(2)</v>
      </c>
      <c r="H245" s="278">
        <f>SUM(B245,D245,F245)</f>
        <v>11.864320480197389</v>
      </c>
      <c r="I245" s="275" t="str">
        <f>CONCATENATE("(",ROUND((H245/$H247)*100,1),")")</f>
        <v>(45.3)</v>
      </c>
      <c r="K245" s="278">
        <f>B250-B245</f>
        <v>0.75869053181020885</v>
      </c>
      <c r="L245" s="278">
        <f>D250-D245</f>
        <v>0.6929962147152251</v>
      </c>
      <c r="M245" s="278">
        <f>F250-F245</f>
        <v>5.8216751323875493E-2</v>
      </c>
      <c r="N245" s="278">
        <f>SUM(K245:M245)</f>
        <v>1.5099034978493093</v>
      </c>
    </row>
    <row r="246" spans="1:14">
      <c r="A246" s="258" t="s">
        <v>142</v>
      </c>
      <c r="B246" s="278">
        <f>'Ind T6'!Q98</f>
        <v>4.6710070978596896</v>
      </c>
      <c r="C246" s="275" t="str">
        <f>CONCATENATE("(",ROUND((B246/$H247)*100,1),")")</f>
        <v>(17.9)</v>
      </c>
      <c r="D246" s="278">
        <f>'Ind T6'!R98</f>
        <v>8.8211657930107918</v>
      </c>
      <c r="E246" s="275" t="str">
        <f>CONCATENATE("(",ROUND((D246/$H247)*100,1),")")</f>
        <v>(33.7)</v>
      </c>
      <c r="F246" s="278">
        <f>'Ind T6'!S98</f>
        <v>0.81050662893217607</v>
      </c>
      <c r="G246" s="275" t="str">
        <f>CONCATENATE("(",ROUND((F246/$H247)*100,1),")")</f>
        <v>(3.1)</v>
      </c>
      <c r="H246" s="278">
        <f t="shared" ref="H246" si="191">SUM(B246,D246,F246)</f>
        <v>14.302679519802657</v>
      </c>
      <c r="I246" s="275" t="str">
        <f>CONCATENATE("(",ROUND((H246/$H247)*100,1),")")</f>
        <v>(54.7)</v>
      </c>
      <c r="K246" s="278">
        <f t="shared" ref="K246:K247" si="192">B251-B246</f>
        <v>0.60889682569621062</v>
      </c>
      <c r="L246" s="278">
        <f t="shared" ref="L246:L247" si="193">D251-D246</f>
        <v>0.97654271437884077</v>
      </c>
      <c r="M246" s="278">
        <f t="shared" ref="M246:M247" si="194">F251-F246</f>
        <v>8.9656962075571611E-2</v>
      </c>
      <c r="N246" s="278">
        <f t="shared" ref="N246:N247" si="195">SUM(K246:M246)</f>
        <v>1.675096502150623</v>
      </c>
    </row>
    <row r="247" spans="1:14">
      <c r="A247" s="258" t="s">
        <v>143</v>
      </c>
      <c r="B247" s="278">
        <f>SUM(B245:B246)</f>
        <v>10.160969189538296</v>
      </c>
      <c r="C247" s="275" t="str">
        <f>CONCATENATE("(",ROUND((B247/$H247)*100,1),")")</f>
        <v>(38.8)</v>
      </c>
      <c r="D247" s="278">
        <f>SUM(D245:D246)</f>
        <v>14.677089597226431</v>
      </c>
      <c r="E247" s="275" t="str">
        <f>CONCATENATE("(",ROUND((D247/$H247)*100,1),")")</f>
        <v>(56.1)</v>
      </c>
      <c r="F247" s="278">
        <f>SUM(F245:F246)</f>
        <v>1.3289412132353196</v>
      </c>
      <c r="G247" s="275" t="str">
        <f>CONCATENATE("(",ROUND((F247/$H247)*100,1),")")</f>
        <v>(5.1)</v>
      </c>
      <c r="H247" s="278">
        <f>SUM(H245:H246)</f>
        <v>26.167000000000044</v>
      </c>
      <c r="I247" s="275" t="str">
        <f>CONCATENATE("(",ROUND((H247/$H247)*100,1),")")</f>
        <v>(100)</v>
      </c>
      <c r="K247" s="278">
        <f t="shared" si="192"/>
        <v>1.3675873575064195</v>
      </c>
      <c r="L247" s="278">
        <f t="shared" si="193"/>
        <v>1.6695389290940632</v>
      </c>
      <c r="M247" s="278">
        <f t="shared" si="194"/>
        <v>0.14787371339944699</v>
      </c>
      <c r="N247" s="278">
        <f t="shared" si="195"/>
        <v>3.1849999999999294</v>
      </c>
    </row>
    <row r="248" spans="1:14">
      <c r="B248" s="278"/>
      <c r="C248" s="260"/>
      <c r="D248" s="278"/>
      <c r="E248" s="260"/>
      <c r="F248" s="278"/>
      <c r="G248" s="260"/>
      <c r="H248" s="278"/>
      <c r="I248" s="260"/>
    </row>
    <row r="249" spans="1:14">
      <c r="A249" s="268">
        <f>$A$18</f>
        <v>2035</v>
      </c>
      <c r="B249" s="278"/>
      <c r="C249" s="260"/>
      <c r="D249" s="278"/>
      <c r="E249" s="260"/>
      <c r="F249" s="278"/>
      <c r="G249" s="260"/>
      <c r="H249" s="278"/>
      <c r="I249" s="260"/>
      <c r="K249" s="262" t="str">
        <f>CONCATENATE(A239," - ",A249)</f>
        <v>2020 - 2035</v>
      </c>
    </row>
    <row r="250" spans="1:14">
      <c r="A250" s="258" t="s">
        <v>141</v>
      </c>
      <c r="B250" s="278">
        <f>'Ind T6'!V99</f>
        <v>6.2486526234888151</v>
      </c>
      <c r="C250" s="275" t="str">
        <f>CONCATENATE("(",ROUND((B250/$H252)*100,1),")")</f>
        <v>(21.3)</v>
      </c>
      <c r="D250" s="278">
        <f>'Ind T6'!W99</f>
        <v>6.548920018930863</v>
      </c>
      <c r="E250" s="275" t="str">
        <f>CONCATENATE("(",ROUND((D250/$H252)*100,1),")")</f>
        <v>(22.3)</v>
      </c>
      <c r="F250" s="278">
        <f>'Ind T6'!X99</f>
        <v>0.57665133562701887</v>
      </c>
      <c r="G250" s="275" t="str">
        <f>CONCATENATE("(",ROUND((F250/$H252)*100,1),")")</f>
        <v>(2)</v>
      </c>
      <c r="H250" s="278">
        <f>SUM(B250,D250,F250)</f>
        <v>13.374223978046697</v>
      </c>
      <c r="I250" s="275" t="str">
        <f>CONCATENATE("(",ROUND((H250/$H252)*100,1),")")</f>
        <v>(45.6)</v>
      </c>
      <c r="K250" s="278">
        <f>B250-B240</f>
        <v>1.0786045459407321</v>
      </c>
      <c r="L250" s="278">
        <f>D250-D240</f>
        <v>1.048665188334148</v>
      </c>
      <c r="M250" s="278">
        <f>F250-F240</f>
        <v>7.6284957160247191E-2</v>
      </c>
      <c r="N250" s="278">
        <f>SUM(K250:M250)</f>
        <v>2.2035546914351274</v>
      </c>
    </row>
    <row r="251" spans="1:14">
      <c r="A251" s="258" t="s">
        <v>142</v>
      </c>
      <c r="B251" s="278">
        <f>'Ind T6'!V98</f>
        <v>5.2799039235559002</v>
      </c>
      <c r="C251" s="275" t="str">
        <f>CONCATENATE("(",ROUND((B251/$H252)*100,1),")")</f>
        <v>(18)</v>
      </c>
      <c r="D251" s="278">
        <f>'Ind T6'!W98</f>
        <v>9.7977085073896326</v>
      </c>
      <c r="E251" s="275" t="str">
        <f>CONCATENATE("(",ROUND((D251/$H252)*100,1),")")</f>
        <v>(33.4)</v>
      </c>
      <c r="F251" s="278">
        <f>'Ind T6'!X98</f>
        <v>0.90016359100774768</v>
      </c>
      <c r="G251" s="275" t="str">
        <f>CONCATENATE("(",ROUND((F251/$H252)*100,1),")")</f>
        <v>(3.1)</v>
      </c>
      <c r="H251" s="278">
        <f t="shared" ref="H251" si="196">SUM(B251,D251,F251)</f>
        <v>15.977776021953279</v>
      </c>
      <c r="I251" s="275" t="str">
        <f>CONCATENATE("(",ROUND((H251/$H252)*100,1),")")</f>
        <v>(54.4)</v>
      </c>
      <c r="K251" s="278">
        <f t="shared" ref="K251:K252" si="197">B251-B241</f>
        <v>0.87881015925469619</v>
      </c>
      <c r="L251" s="278">
        <f t="shared" ref="L251:L252" si="198">D251-D241</f>
        <v>1.4517968677774356</v>
      </c>
      <c r="M251" s="278">
        <f t="shared" ref="M251:M252" si="199">F251-F241</f>
        <v>0.11583828153271203</v>
      </c>
      <c r="N251" s="278">
        <f t="shared" ref="N251:N252" si="200">SUM(K251:M251)</f>
        <v>2.4464453085648437</v>
      </c>
    </row>
    <row r="252" spans="1:14">
      <c r="A252" s="258" t="s">
        <v>143</v>
      </c>
      <c r="B252" s="278">
        <f>SUM(B250:B251)</f>
        <v>11.528556547044715</v>
      </c>
      <c r="C252" s="275" t="str">
        <f>CONCATENATE("(",ROUND((B252/$H252)*100,1),")")</f>
        <v>(39.3)</v>
      </c>
      <c r="D252" s="278">
        <f>SUM(D250:D251)</f>
        <v>16.346628526320494</v>
      </c>
      <c r="E252" s="275" t="str">
        <f>CONCATENATE("(",ROUND((D252/$H252)*100,1),")")</f>
        <v>(55.7)</v>
      </c>
      <c r="F252" s="278">
        <f>SUM(F250:F251)</f>
        <v>1.4768149266347665</v>
      </c>
      <c r="G252" s="275" t="str">
        <f>CONCATENATE("(",ROUND((F252/$H252)*100,1),")")</f>
        <v>(5)</v>
      </c>
      <c r="H252" s="278">
        <f>SUM(H250:H251)</f>
        <v>29.351999999999975</v>
      </c>
      <c r="I252" s="275" t="str">
        <f>CONCATENATE("(",ROUND((H252/$H252)*100,1),")")</f>
        <v>(100)</v>
      </c>
      <c r="K252" s="278">
        <f t="shared" si="197"/>
        <v>1.9574147051954291</v>
      </c>
      <c r="L252" s="278">
        <f t="shared" si="198"/>
        <v>2.5004620561115818</v>
      </c>
      <c r="M252" s="278">
        <f t="shared" si="199"/>
        <v>0.19212323869295922</v>
      </c>
      <c r="N252" s="278">
        <f t="shared" si="200"/>
        <v>4.6499999999999702</v>
      </c>
    </row>
    <row r="253" spans="1:14">
      <c r="A253" s="269"/>
      <c r="B253" s="270"/>
      <c r="C253" s="269"/>
      <c r="D253" s="270"/>
      <c r="E253" s="269"/>
      <c r="F253" s="270"/>
      <c r="G253" s="269"/>
      <c r="H253" s="270"/>
      <c r="I253" s="269"/>
      <c r="J253" s="269"/>
      <c r="K253" s="270"/>
      <c r="L253" s="270"/>
      <c r="M253" s="270"/>
      <c r="N253" s="270"/>
    </row>
    <row r="256" spans="1:14">
      <c r="C256" s="159"/>
      <c r="E256" s="159"/>
      <c r="G256" s="159"/>
      <c r="I256" s="159"/>
    </row>
    <row r="257" spans="1:14">
      <c r="A257" s="264"/>
      <c r="B257" s="265" t="s">
        <v>130</v>
      </c>
      <c r="C257" s="264"/>
      <c r="D257" s="265"/>
      <c r="E257" s="264"/>
      <c r="F257" s="265" t="str">
        <f>name!B15</f>
        <v>Media</v>
      </c>
      <c r="G257" s="264"/>
      <c r="H257" s="267"/>
      <c r="I257" s="264"/>
      <c r="J257" s="266"/>
      <c r="K257" s="267"/>
      <c r="L257" s="267"/>
      <c r="M257" s="267"/>
      <c r="N257" s="267"/>
    </row>
    <row r="258" spans="1:14">
      <c r="N258" s="263" t="s">
        <v>131</v>
      </c>
    </row>
    <row r="259" spans="1:14">
      <c r="A259" s="159" t="s">
        <v>132</v>
      </c>
      <c r="B259" s="344" t="s">
        <v>133</v>
      </c>
      <c r="C259" s="344"/>
      <c r="D259" s="344" t="s">
        <v>134</v>
      </c>
      <c r="E259" s="344"/>
      <c r="F259" s="344" t="s">
        <v>135</v>
      </c>
      <c r="G259" s="344"/>
      <c r="H259" s="344" t="s">
        <v>117</v>
      </c>
      <c r="I259" s="344"/>
      <c r="J259" s="159"/>
      <c r="K259" s="273" t="s">
        <v>136</v>
      </c>
      <c r="L259" s="273" t="s">
        <v>137</v>
      </c>
      <c r="M259" s="273" t="s">
        <v>138</v>
      </c>
      <c r="N259" s="273" t="s">
        <v>117</v>
      </c>
    </row>
    <row r="260" spans="1:14">
      <c r="A260" s="268">
        <f>$A$8</f>
        <v>2020</v>
      </c>
      <c r="B260" s="263" t="s">
        <v>139</v>
      </c>
      <c r="C260" s="19" t="s">
        <v>140</v>
      </c>
      <c r="D260" s="263" t="s">
        <v>139</v>
      </c>
      <c r="E260" s="19" t="s">
        <v>140</v>
      </c>
      <c r="F260" s="263" t="s">
        <v>139</v>
      </c>
      <c r="G260" s="19" t="s">
        <v>140</v>
      </c>
      <c r="H260" s="263" t="s">
        <v>139</v>
      </c>
      <c r="I260" s="19" t="s">
        <v>140</v>
      </c>
      <c r="J260" s="159"/>
      <c r="K260" s="262" t="str">
        <f>CONCATENATE(A260," - ",A265)</f>
        <v>2020 - 2025</v>
      </c>
      <c r="L260" s="261"/>
      <c r="M260" s="261"/>
    </row>
    <row r="261" spans="1:14">
      <c r="A261" s="258" t="s">
        <v>141</v>
      </c>
      <c r="B261" s="278">
        <f>'Ind T6'!L108</f>
        <v>0.34929499188066826</v>
      </c>
      <c r="C261" s="275" t="str">
        <f>CONCATENATE("(",ROUND((B261/$H263)*100,1),")")</f>
        <v>(16.6)</v>
      </c>
      <c r="D261" s="278">
        <f>'Ind T6'!M108</f>
        <v>0.20383227175810864</v>
      </c>
      <c r="E261" s="275" t="str">
        <f>CONCATENATE("(",ROUND((D261/$H263)*100,1),")")</f>
        <v>(9.7)</v>
      </c>
      <c r="F261" s="278">
        <f>'Ind T6'!N108</f>
        <v>0.75933121021605365</v>
      </c>
      <c r="G261" s="275" t="str">
        <f>CONCATENATE("(",ROUND((F261/$H263)*100,1),")")</f>
        <v>(36)</v>
      </c>
      <c r="H261" s="278">
        <f>SUM(B261,D261,F261)</f>
        <v>1.3124584738548306</v>
      </c>
      <c r="I261" s="275" t="str">
        <f>CONCATENATE("(",ROUND((H261/$H263)*100,1),")")</f>
        <v>(62.2)</v>
      </c>
      <c r="K261" s="278">
        <f>B266-B261</f>
        <v>-9.318618435003645E-3</v>
      </c>
      <c r="L261" s="278">
        <f>D266-D261</f>
        <v>5.0895446843927661E-3</v>
      </c>
      <c r="M261" s="278">
        <f>F266-F261</f>
        <v>-1.140958426939398E-2</v>
      </c>
      <c r="N261" s="278">
        <f>SUM(K261:M261)</f>
        <v>-1.5638658020004859E-2</v>
      </c>
    </row>
    <row r="262" spans="1:14">
      <c r="A262" s="258" t="s">
        <v>142</v>
      </c>
      <c r="B262" s="278">
        <f>'Ind T6'!L107</f>
        <v>0.21410952915727557</v>
      </c>
      <c r="C262" s="275" t="str">
        <f>CONCATENATE("(",ROUND((B262/$H263)*100,1),")")</f>
        <v>(10.1)</v>
      </c>
      <c r="D262" s="278">
        <f>'Ind T6'!M107</f>
        <v>0.29369239414917225</v>
      </c>
      <c r="E262" s="275" t="str">
        <f>CONCATENATE("(",ROUND((D262/$H263)*100,1),")")</f>
        <v>(13.9)</v>
      </c>
      <c r="F262" s="278">
        <f>'Ind T6'!N107</f>
        <v>0.28973960283872358</v>
      </c>
      <c r="G262" s="275" t="str">
        <f>CONCATENATE("(",ROUND((F262/$H263)*100,1),")")</f>
        <v>(13.7)</v>
      </c>
      <c r="H262" s="278">
        <f t="shared" ref="H262" si="201">SUM(B262,D262,F262)</f>
        <v>0.79754152614517138</v>
      </c>
      <c r="I262" s="275" t="str">
        <f>CONCATENATE("(",ROUND((H262/$H263)*100,1),")")</f>
        <v>(37.8)</v>
      </c>
      <c r="K262" s="278">
        <f t="shared" ref="K262:K263" si="202">B267-B262</f>
        <v>-4.7917774932630941E-3</v>
      </c>
      <c r="L262" s="278">
        <f t="shared" ref="L262:L263" si="203">D267-D262</f>
        <v>-2.2840740579819219E-3</v>
      </c>
      <c r="M262" s="278">
        <f t="shared" ref="M262:M263" si="204">F267-F262</f>
        <v>-9.2854904287504314E-3</v>
      </c>
      <c r="N262" s="278">
        <f t="shared" ref="N262:N263" si="205">SUM(K262:M262)</f>
        <v>-1.6361341979995447E-2</v>
      </c>
    </row>
    <row r="263" spans="1:14">
      <c r="A263" s="258" t="s">
        <v>143</v>
      </c>
      <c r="B263" s="278">
        <f>SUM(B261:B262)</f>
        <v>0.56340452103794381</v>
      </c>
      <c r="C263" s="275" t="str">
        <f>CONCATENATE("(",ROUND((B263/$H263)*100,1),")")</f>
        <v>(26.7)</v>
      </c>
      <c r="D263" s="278">
        <f>SUM(D261:D262)</f>
        <v>0.49752466590728089</v>
      </c>
      <c r="E263" s="275" t="str">
        <f>CONCATENATE("(",ROUND((D263/$H263)*100,1),")")</f>
        <v>(23.6)</v>
      </c>
      <c r="F263" s="278">
        <f>SUM(F261:F262)</f>
        <v>1.0490708130547772</v>
      </c>
      <c r="G263" s="275" t="str">
        <f>CONCATENATE("(",ROUND((F263/$H263)*100,1),")")</f>
        <v>(49.7)</v>
      </c>
      <c r="H263" s="278">
        <f>SUM(H261:H262)</f>
        <v>2.1100000000000021</v>
      </c>
      <c r="I263" s="275" t="str">
        <f>CONCATENATE("(",ROUND((H263/$H263)*100,1),")")</f>
        <v>(100)</v>
      </c>
      <c r="K263" s="278">
        <f t="shared" si="202"/>
        <v>-1.4110395928266684E-2</v>
      </c>
      <c r="L263" s="278">
        <f t="shared" si="203"/>
        <v>2.8054706264108442E-3</v>
      </c>
      <c r="M263" s="278">
        <f t="shared" si="204"/>
        <v>-2.0695074698144467E-2</v>
      </c>
      <c r="N263" s="278">
        <f t="shared" si="205"/>
        <v>-3.2000000000000306E-2</v>
      </c>
    </row>
    <row r="264" spans="1:14">
      <c r="B264" s="278"/>
      <c r="C264" s="260"/>
      <c r="D264" s="278"/>
      <c r="E264" s="260"/>
      <c r="F264" s="278"/>
      <c r="G264" s="260"/>
      <c r="H264" s="278"/>
      <c r="I264" s="260"/>
    </row>
    <row r="265" spans="1:14">
      <c r="A265" s="268">
        <f>$A$13</f>
        <v>2025</v>
      </c>
      <c r="B265" s="278"/>
      <c r="C265" s="260"/>
      <c r="D265" s="278"/>
      <c r="E265" s="260"/>
      <c r="F265" s="278"/>
      <c r="G265" s="260"/>
      <c r="H265" s="278"/>
      <c r="I265" s="260"/>
      <c r="K265" s="262" t="str">
        <f>CONCATENATE(A265," - ",A270)</f>
        <v>2025 - 2035</v>
      </c>
    </row>
    <row r="266" spans="1:14">
      <c r="A266" s="258" t="s">
        <v>141</v>
      </c>
      <c r="B266" s="278">
        <f>'Ind T6'!Q108</f>
        <v>0.33997637344566461</v>
      </c>
      <c r="C266" s="275" t="str">
        <f>CONCATENATE("(",ROUND((B266/$H268)*100,1),")")</f>
        <v>(16.4)</v>
      </c>
      <c r="D266" s="278">
        <f>'Ind T6'!R108</f>
        <v>0.20892181644250141</v>
      </c>
      <c r="E266" s="275" t="str">
        <f>CONCATENATE("(",ROUND((D266/$H268)*100,1),")")</f>
        <v>(10.1)</v>
      </c>
      <c r="F266" s="278">
        <f>'Ind T6'!S108</f>
        <v>0.74792162594665967</v>
      </c>
      <c r="G266" s="275" t="str">
        <f>CONCATENATE("(",ROUND((F266/$H268)*100,1),")")</f>
        <v>(36)</v>
      </c>
      <c r="H266" s="278">
        <f>SUM(B266,D266,F266)</f>
        <v>1.2968198158348256</v>
      </c>
      <c r="I266" s="275" t="str">
        <f>CONCATENATE("(",ROUND((H266/$H268)*100,1),")")</f>
        <v>(62.4)</v>
      </c>
      <c r="K266" s="278">
        <f>B271-B266</f>
        <v>-3.8815286829552154E-4</v>
      </c>
      <c r="L266" s="278">
        <f>D271-D266</f>
        <v>1.6109695368631827E-2</v>
      </c>
      <c r="M266" s="278">
        <f>F271-F266</f>
        <v>1.4473022072421515E-2</v>
      </c>
      <c r="N266" s="278">
        <f>SUM(K266:M266)</f>
        <v>3.019456457275782E-2</v>
      </c>
    </row>
    <row r="267" spans="1:14">
      <c r="A267" s="258" t="s">
        <v>142</v>
      </c>
      <c r="B267" s="278">
        <f>'Ind T6'!Q107</f>
        <v>0.20931775166401248</v>
      </c>
      <c r="C267" s="275" t="str">
        <f>CONCATENATE("(",ROUND((B267/$H268)*100,1),")")</f>
        <v>(10.1)</v>
      </c>
      <c r="D267" s="278">
        <f>'Ind T6'!R107</f>
        <v>0.29140832009119033</v>
      </c>
      <c r="E267" s="275" t="str">
        <f>CONCATENATE("(",ROUND((D267/$H268)*100,1),")")</f>
        <v>(14)</v>
      </c>
      <c r="F267" s="278">
        <f>'Ind T6'!S107</f>
        <v>0.28045411240997314</v>
      </c>
      <c r="G267" s="275" t="str">
        <f>CONCATENATE("(",ROUND((F267/$H268)*100,1),")")</f>
        <v>(13.5)</v>
      </c>
      <c r="H267" s="278">
        <f t="shared" ref="H267" si="206">SUM(B267,D267,F267)</f>
        <v>0.78118018416517598</v>
      </c>
      <c r="I267" s="275" t="str">
        <f>CONCATENATE("(",ROUND((H267/$H268)*100,1),")")</f>
        <v>(37.6)</v>
      </c>
      <c r="K267" s="278">
        <f t="shared" ref="K267:K268" si="207">B272-B267</f>
        <v>3.7313917630013294E-3</v>
      </c>
      <c r="L267" s="278">
        <f t="shared" ref="L267:L268" si="208">D272-D267</f>
        <v>3.5422863796480408E-3</v>
      </c>
      <c r="M267" s="278">
        <f t="shared" ref="M267:M268" si="209">F272-F267</f>
        <v>-9.4682427154105242E-3</v>
      </c>
      <c r="N267" s="278">
        <f t="shared" ref="N267:N268" si="210">SUM(K267:M267)</f>
        <v>-2.194564572761154E-3</v>
      </c>
    </row>
    <row r="268" spans="1:14">
      <c r="A268" s="258" t="s">
        <v>143</v>
      </c>
      <c r="B268" s="278">
        <f>SUM(B266:B267)</f>
        <v>0.54929412510967712</v>
      </c>
      <c r="C268" s="275" t="str">
        <f>CONCATENATE("(",ROUND((B268/$H268)*100,1),")")</f>
        <v>(26.4)</v>
      </c>
      <c r="D268" s="278">
        <f>SUM(D266:D267)</f>
        <v>0.50033013653369174</v>
      </c>
      <c r="E268" s="275" t="str">
        <f>CONCATENATE("(",ROUND((D268/$H268)*100,1),")")</f>
        <v>(24.1)</v>
      </c>
      <c r="F268" s="278">
        <f>SUM(F266:F267)</f>
        <v>1.0283757383566328</v>
      </c>
      <c r="G268" s="275" t="str">
        <f>CONCATENATE("(",ROUND((F268/$H268)*100,1),")")</f>
        <v>(49.5)</v>
      </c>
      <c r="H268" s="278">
        <f>SUM(H266:H267)</f>
        <v>2.0780000000000016</v>
      </c>
      <c r="I268" s="275" t="str">
        <f>CONCATENATE("(",ROUND((H268/$H268)*100,1),")")</f>
        <v>(100)</v>
      </c>
      <c r="K268" s="278">
        <f t="shared" si="207"/>
        <v>3.3432388947057801E-3</v>
      </c>
      <c r="L268" s="278">
        <f t="shared" si="208"/>
        <v>1.9651981748279868E-2</v>
      </c>
      <c r="M268" s="278">
        <f t="shared" si="209"/>
        <v>5.0047793570109356E-3</v>
      </c>
      <c r="N268" s="278">
        <f t="shared" si="210"/>
        <v>2.7999999999996583E-2</v>
      </c>
    </row>
    <row r="269" spans="1:14">
      <c r="B269" s="278"/>
      <c r="C269" s="260"/>
      <c r="D269" s="278"/>
      <c r="E269" s="260"/>
      <c r="F269" s="278"/>
      <c r="G269" s="260"/>
      <c r="H269" s="278"/>
      <c r="I269" s="260"/>
    </row>
    <row r="270" spans="1:14">
      <c r="A270" s="268">
        <f>$A$18</f>
        <v>2035</v>
      </c>
      <c r="B270" s="278"/>
      <c r="C270" s="260"/>
      <c r="D270" s="278"/>
      <c r="E270" s="260"/>
      <c r="F270" s="278"/>
      <c r="G270" s="260"/>
      <c r="H270" s="278"/>
      <c r="I270" s="260"/>
      <c r="K270" s="262" t="str">
        <f>CONCATENATE(A260," - ",A270)</f>
        <v>2020 - 2035</v>
      </c>
    </row>
    <row r="271" spans="1:14">
      <c r="A271" s="258" t="s">
        <v>141</v>
      </c>
      <c r="B271" s="278">
        <f>'Ind T6'!V108</f>
        <v>0.33958822057736909</v>
      </c>
      <c r="C271" s="275" t="str">
        <f>CONCATENATE("(",ROUND((B271/$H273)*100,1),")")</f>
        <v>(16.1)</v>
      </c>
      <c r="D271" s="278">
        <f>'Ind T6'!W108</f>
        <v>0.22503151181113323</v>
      </c>
      <c r="E271" s="275" t="str">
        <f>CONCATENATE("(",ROUND((D271/$H273)*100,1),")")</f>
        <v>(10.7)</v>
      </c>
      <c r="F271" s="278">
        <f>'Ind T6'!X108</f>
        <v>0.76239464801908119</v>
      </c>
      <c r="G271" s="275" t="str">
        <f>CONCATENATE("(",ROUND((F271/$H273)*100,1),")")</f>
        <v>(36.2)</v>
      </c>
      <c r="H271" s="278">
        <f>SUM(B271,D271,F271)</f>
        <v>1.3270143804075833</v>
      </c>
      <c r="I271" s="275" t="str">
        <f>CONCATENATE("(",ROUND((H271/$H273)*100,1),")")</f>
        <v>(63)</v>
      </c>
      <c r="K271" s="278">
        <f>B271-B261</f>
        <v>-9.7067713032991665E-3</v>
      </c>
      <c r="L271" s="278">
        <f>D271-D261</f>
        <v>2.1199240053024593E-2</v>
      </c>
      <c r="M271" s="278">
        <f>F271-F261</f>
        <v>3.0634378030275355E-3</v>
      </c>
      <c r="N271" s="278">
        <f>SUM(K271:M271)</f>
        <v>1.4555906552752962E-2</v>
      </c>
    </row>
    <row r="272" spans="1:14">
      <c r="A272" s="258" t="s">
        <v>142</v>
      </c>
      <c r="B272" s="278">
        <f>'Ind T6'!V107</f>
        <v>0.21304914342701381</v>
      </c>
      <c r="C272" s="275" t="str">
        <f>CONCATENATE("(",ROUND((B272/$H273)*100,1),")")</f>
        <v>(10.1)</v>
      </c>
      <c r="D272" s="278">
        <f>'Ind T6'!W107</f>
        <v>0.29495060647083837</v>
      </c>
      <c r="E272" s="275" t="str">
        <f>CONCATENATE("(",ROUND((D272/$H273)*100,1),")")</f>
        <v>(14)</v>
      </c>
      <c r="F272" s="278">
        <f>'Ind T6'!X107</f>
        <v>0.27098586969456262</v>
      </c>
      <c r="G272" s="275" t="str">
        <f>CONCATENATE("(",ROUND((F272/$H273)*100,1),")")</f>
        <v>(12.9)</v>
      </c>
      <c r="H272" s="278">
        <f t="shared" ref="H272" si="211">SUM(B272,D272,F272)</f>
        <v>0.77898561959241475</v>
      </c>
      <c r="I272" s="275" t="str">
        <f>CONCATENATE("(",ROUND((H272/$H273)*100,1),")")</f>
        <v>(37)</v>
      </c>
      <c r="K272" s="278">
        <f t="shared" ref="K272:K273" si="212">B272-B262</f>
        <v>-1.0603857302617647E-3</v>
      </c>
      <c r="L272" s="278">
        <f t="shared" ref="L272:L273" si="213">D272-D262</f>
        <v>1.258212321666119E-3</v>
      </c>
      <c r="M272" s="278">
        <f t="shared" ref="M272:M273" si="214">F272-F262</f>
        <v>-1.8753733144160956E-2</v>
      </c>
      <c r="N272" s="278">
        <f t="shared" ref="N272:N273" si="215">SUM(K272:M272)</f>
        <v>-1.8555906552756601E-2</v>
      </c>
    </row>
    <row r="273" spans="1:14">
      <c r="A273" s="258" t="s">
        <v>143</v>
      </c>
      <c r="B273" s="278">
        <f>SUM(B271:B272)</f>
        <v>0.5526373640043829</v>
      </c>
      <c r="C273" s="275" t="str">
        <f>CONCATENATE("(",ROUND((B273/$H273)*100,1),")")</f>
        <v>(26.2)</v>
      </c>
      <c r="D273" s="278">
        <f>SUM(D271:D272)</f>
        <v>0.51998211828197161</v>
      </c>
      <c r="E273" s="275" t="str">
        <f>CONCATENATE("(",ROUND((D273/$H273)*100,1),")")</f>
        <v>(24.7)</v>
      </c>
      <c r="F273" s="278">
        <f>SUM(F271:F272)</f>
        <v>1.0333805177136437</v>
      </c>
      <c r="G273" s="275" t="str">
        <f>CONCATENATE("(",ROUND((F273/$H273)*100,1),")")</f>
        <v>(49.1)</v>
      </c>
      <c r="H273" s="278">
        <f>SUM(H271:H272)</f>
        <v>2.1059999999999981</v>
      </c>
      <c r="I273" s="275" t="str">
        <f>CONCATENATE("(",ROUND((H273/$H273)*100,1),")")</f>
        <v>(100)</v>
      </c>
      <c r="K273" s="278">
        <f t="shared" si="212"/>
        <v>-1.0767157033560903E-2</v>
      </c>
      <c r="L273" s="278">
        <f t="shared" si="213"/>
        <v>2.2457452374690712E-2</v>
      </c>
      <c r="M273" s="278">
        <f t="shared" si="214"/>
        <v>-1.5690295341133531E-2</v>
      </c>
      <c r="N273" s="278">
        <f t="shared" si="215"/>
        <v>-4.0000000000037228E-3</v>
      </c>
    </row>
    <row r="274" spans="1:14">
      <c r="A274" s="269"/>
      <c r="B274" s="270"/>
      <c r="C274" s="269"/>
      <c r="D274" s="270"/>
      <c r="E274" s="269"/>
      <c r="F274" s="270"/>
      <c r="G274" s="269"/>
      <c r="H274" s="270"/>
      <c r="I274" s="269"/>
      <c r="J274" s="269"/>
      <c r="K274" s="270"/>
      <c r="L274" s="270"/>
      <c r="M274" s="270"/>
      <c r="N274" s="270"/>
    </row>
    <row r="278" spans="1:14">
      <c r="A278" s="264"/>
      <c r="B278" s="265" t="s">
        <v>130</v>
      </c>
      <c r="C278" s="264"/>
      <c r="D278" s="265"/>
      <c r="E278" s="264"/>
      <c r="F278" s="265" t="str">
        <f>name!B16</f>
        <v>Information technology</v>
      </c>
      <c r="G278" s="264"/>
      <c r="H278" s="267"/>
      <c r="I278" s="264"/>
      <c r="J278" s="266"/>
      <c r="K278" s="267"/>
      <c r="L278" s="267"/>
      <c r="M278" s="267"/>
      <c r="N278" s="267"/>
    </row>
    <row r="279" spans="1:14">
      <c r="N279" s="263" t="s">
        <v>131</v>
      </c>
    </row>
    <row r="280" spans="1:14">
      <c r="A280" s="159" t="s">
        <v>132</v>
      </c>
      <c r="B280" s="344" t="s">
        <v>133</v>
      </c>
      <c r="C280" s="344"/>
      <c r="D280" s="344" t="s">
        <v>134</v>
      </c>
      <c r="E280" s="344"/>
      <c r="F280" s="344" t="s">
        <v>135</v>
      </c>
      <c r="G280" s="344"/>
      <c r="H280" s="344" t="s">
        <v>117</v>
      </c>
      <c r="I280" s="344"/>
      <c r="J280" s="159"/>
      <c r="K280" s="273" t="s">
        <v>136</v>
      </c>
      <c r="L280" s="273" t="s">
        <v>137</v>
      </c>
      <c r="M280" s="273" t="s">
        <v>138</v>
      </c>
      <c r="N280" s="273" t="s">
        <v>117</v>
      </c>
    </row>
    <row r="281" spans="1:14">
      <c r="A281" s="268">
        <f>$A$8</f>
        <v>2020</v>
      </c>
      <c r="B281" s="263" t="s">
        <v>139</v>
      </c>
      <c r="C281" s="19" t="s">
        <v>140</v>
      </c>
      <c r="D281" s="263" t="s">
        <v>139</v>
      </c>
      <c r="E281" s="19" t="s">
        <v>140</v>
      </c>
      <c r="F281" s="263" t="s">
        <v>139</v>
      </c>
      <c r="G281" s="19" t="s">
        <v>140</v>
      </c>
      <c r="H281" s="263" t="s">
        <v>139</v>
      </c>
      <c r="I281" s="19" t="s">
        <v>140</v>
      </c>
      <c r="J281" s="159"/>
      <c r="K281" s="262" t="str">
        <f>CONCATENATE(A281," - ",A286)</f>
        <v>2020 - 2025</v>
      </c>
      <c r="L281" s="261"/>
      <c r="M281" s="261"/>
    </row>
    <row r="282" spans="1:14">
      <c r="A282" s="258" t="s">
        <v>141</v>
      </c>
      <c r="B282" s="278">
        <f>'Ind T6'!L117</f>
        <v>3.7542693200458546</v>
      </c>
      <c r="C282" s="275" t="str">
        <f>CONCATENATE("(",ROUND((B282/$H284)*100,1),")")</f>
        <v>(54.6)</v>
      </c>
      <c r="D282" s="278">
        <f>'Ind T6'!M117</f>
        <v>0.19940931017216984</v>
      </c>
      <c r="E282" s="275" t="str">
        <f>CONCATENATE("(",ROUND((D282/$H284)*100,1),")")</f>
        <v>(2.9)</v>
      </c>
      <c r="F282" s="278">
        <f>'Ind T6'!N117</f>
        <v>0.94832997681654263</v>
      </c>
      <c r="G282" s="275" t="str">
        <f>CONCATENATE("(",ROUND((F282/$H284)*100,1),")")</f>
        <v>(13.8)</v>
      </c>
      <c r="H282" s="278">
        <f>SUM(B282,D282,F282)</f>
        <v>4.902008607034567</v>
      </c>
      <c r="I282" s="275" t="str">
        <f>CONCATENATE("(",ROUND((H282/$H284)*100,1),")")</f>
        <v>(71.3)</v>
      </c>
      <c r="K282" s="278">
        <f>B287-B282</f>
        <v>0.10660041736829218</v>
      </c>
      <c r="L282" s="278">
        <f>D287-D282</f>
        <v>8.6332525643965929E-3</v>
      </c>
      <c r="M282" s="278">
        <f>F287-F282</f>
        <v>5.6674181793315292E-2</v>
      </c>
      <c r="N282" s="278">
        <f>SUM(K282:M282)</f>
        <v>0.17190785172600406</v>
      </c>
    </row>
    <row r="283" spans="1:14">
      <c r="A283" s="258" t="s">
        <v>142</v>
      </c>
      <c r="B283" s="278">
        <f>'Ind T6'!L116</f>
        <v>1.5035442654864724</v>
      </c>
      <c r="C283" s="275" t="str">
        <f>CONCATENATE("(",ROUND((B283/$H284)*100,1),")")</f>
        <v>(21.9)</v>
      </c>
      <c r="D283" s="278">
        <f>'Ind T6'!M116</f>
        <v>0.31888090851038681</v>
      </c>
      <c r="E283" s="275" t="str">
        <f>CONCATENATE("(",ROUND((D283/$H284)*100,1),")")</f>
        <v>(4.6)</v>
      </c>
      <c r="F283" s="278">
        <f>'Ind T6'!N116</f>
        <v>0.14856621896856104</v>
      </c>
      <c r="G283" s="275" t="str">
        <f>CONCATENATE("(",ROUND((F283/$H284)*100,1),")")</f>
        <v>(2.2)</v>
      </c>
      <c r="H283" s="278">
        <f t="shared" ref="H283" si="216">SUM(B283,D283,F283)</f>
        <v>1.9709913929654201</v>
      </c>
      <c r="I283" s="275" t="str">
        <f>CONCATENATE("(",ROUND((H283/$H284)*100,1),")")</f>
        <v>(28.7)</v>
      </c>
      <c r="K283" s="278">
        <f t="shared" ref="K283:K284" si="217">B288-B283</f>
        <v>9.0473319355926618E-2</v>
      </c>
      <c r="L283" s="278">
        <f t="shared" ref="L283:L284" si="218">D288-D283</f>
        <v>6.8699463011940298E-3</v>
      </c>
      <c r="M283" s="278">
        <f t="shared" ref="M283:M284" si="219">F288-F283</f>
        <v>7.7488826168599922E-3</v>
      </c>
      <c r="N283" s="278">
        <f t="shared" ref="N283:N284" si="220">SUM(K283:M283)</f>
        <v>0.10509214827398064</v>
      </c>
    </row>
    <row r="284" spans="1:14">
      <c r="A284" s="258" t="s">
        <v>143</v>
      </c>
      <c r="B284" s="278">
        <f>SUM(B282:B283)</f>
        <v>5.2578135855323271</v>
      </c>
      <c r="C284" s="275" t="str">
        <f>CONCATENATE("(",ROUND((B284/$H284)*100,1),")")</f>
        <v>(76.5)</v>
      </c>
      <c r="D284" s="278">
        <f>SUM(D282:D283)</f>
        <v>0.51829021868255665</v>
      </c>
      <c r="E284" s="275" t="str">
        <f>CONCATENATE("(",ROUND((D284/$H284)*100,1),")")</f>
        <v>(7.5)</v>
      </c>
      <c r="F284" s="278">
        <f>SUM(F282:F283)</f>
        <v>1.0968961957851038</v>
      </c>
      <c r="G284" s="275" t="str">
        <f>CONCATENATE("(",ROUND((F284/$H284)*100,1),")")</f>
        <v>(16)</v>
      </c>
      <c r="H284" s="278">
        <f>SUM(H282:H283)</f>
        <v>6.8729999999999869</v>
      </c>
      <c r="I284" s="275" t="str">
        <f>CONCATENATE("(",ROUND((H284/$H284)*100,1),")")</f>
        <v>(100)</v>
      </c>
      <c r="K284" s="278">
        <f t="shared" si="217"/>
        <v>0.19707373672421902</v>
      </c>
      <c r="L284" s="278">
        <f t="shared" si="218"/>
        <v>1.5503198865590595E-2</v>
      </c>
      <c r="M284" s="278">
        <f t="shared" si="219"/>
        <v>6.442306441017509E-2</v>
      </c>
      <c r="N284" s="278">
        <f t="shared" si="220"/>
        <v>0.2769999999999847</v>
      </c>
    </row>
    <row r="285" spans="1:14">
      <c r="B285" s="278"/>
      <c r="C285" s="260"/>
      <c r="D285" s="278"/>
      <c r="E285" s="260"/>
      <c r="F285" s="278"/>
      <c r="G285" s="260"/>
      <c r="H285" s="278"/>
      <c r="I285" s="260"/>
    </row>
    <row r="286" spans="1:14">
      <c r="A286" s="268">
        <f>$A$13</f>
        <v>2025</v>
      </c>
      <c r="B286" s="278"/>
      <c r="C286" s="260"/>
      <c r="D286" s="278"/>
      <c r="E286" s="260"/>
      <c r="F286" s="278"/>
      <c r="G286" s="260"/>
      <c r="H286" s="278"/>
      <c r="I286" s="260"/>
      <c r="K286" s="262" t="str">
        <f>CONCATENATE(A286," - ",A291)</f>
        <v>2025 - 2035</v>
      </c>
    </row>
    <row r="287" spans="1:14">
      <c r="A287" s="258" t="s">
        <v>141</v>
      </c>
      <c r="B287" s="278">
        <f>'Ind T6'!Q117</f>
        <v>3.8608697374141467</v>
      </c>
      <c r="C287" s="275" t="str">
        <f>CONCATENATE("(",ROUND((B287/$H289)*100,1),")")</f>
        <v>(54)</v>
      </c>
      <c r="D287" s="278">
        <f>'Ind T6'!R117</f>
        <v>0.20804256273656643</v>
      </c>
      <c r="E287" s="275" t="str">
        <f>CONCATENATE("(",ROUND((D287/$H289)*100,1),")")</f>
        <v>(2.9)</v>
      </c>
      <c r="F287" s="278">
        <f>'Ind T6'!S117</f>
        <v>1.0050041586098579</v>
      </c>
      <c r="G287" s="275" t="str">
        <f>CONCATENATE("(",ROUND((F287/$H289)*100,1),")")</f>
        <v>(14.1)</v>
      </c>
      <c r="H287" s="278">
        <f>SUM(B287,D287,F287)</f>
        <v>5.0739164587605714</v>
      </c>
      <c r="I287" s="275" t="str">
        <f>CONCATENATE("(",ROUND((H287/$H289)*100,1),")")</f>
        <v>(71)</v>
      </c>
      <c r="K287" s="278">
        <f>B292-B287</f>
        <v>6.4330237625978448E-2</v>
      </c>
      <c r="L287" s="278">
        <f>D292-D287</f>
        <v>7.4991039264498682E-3</v>
      </c>
      <c r="M287" s="278">
        <f>F292-F287</f>
        <v>5.0854998094935544E-2</v>
      </c>
      <c r="N287" s="278">
        <f>SUM(K287:M287)</f>
        <v>0.12268433964736386</v>
      </c>
    </row>
    <row r="288" spans="1:14">
      <c r="A288" s="258" t="s">
        <v>142</v>
      </c>
      <c r="B288" s="278">
        <f>'Ind T6'!Q116</f>
        <v>1.594017584842399</v>
      </c>
      <c r="C288" s="275" t="str">
        <f>CONCATENATE("(",ROUND((B288/$H289)*100,1),")")</f>
        <v>(22.3)</v>
      </c>
      <c r="D288" s="278">
        <f>'Ind T6'!R116</f>
        <v>0.32575085481158084</v>
      </c>
      <c r="E288" s="275" t="str">
        <f>CONCATENATE("(",ROUND((D288/$H289)*100,1),")")</f>
        <v>(4.6)</v>
      </c>
      <c r="F288" s="278">
        <f>'Ind T6'!S116</f>
        <v>0.15631510158542103</v>
      </c>
      <c r="G288" s="275" t="str">
        <f>CONCATENATE("(",ROUND((F288/$H289)*100,1),")")</f>
        <v>(2.2)</v>
      </c>
      <c r="H288" s="278">
        <f t="shared" ref="H288" si="221">SUM(B288,D288,F288)</f>
        <v>2.076083541239401</v>
      </c>
      <c r="I288" s="275" t="str">
        <f>CONCATENATE("(",ROUND((H288/$H289)*100,1),")")</f>
        <v>(29)</v>
      </c>
      <c r="K288" s="278">
        <f t="shared" ref="K288:K289" si="222">B293-B288</f>
        <v>0.11464334330430392</v>
      </c>
      <c r="L288" s="278">
        <f t="shared" ref="L288:L289" si="223">D293-D288</f>
        <v>-2.3461641975367487E-3</v>
      </c>
      <c r="M288" s="278">
        <f t="shared" ref="M288:M289" si="224">F293-F288</f>
        <v>5.0184812458881345E-3</v>
      </c>
      <c r="N288" s="278">
        <f t="shared" ref="N288:N289" si="225">SUM(K288:M288)</f>
        <v>0.11731566035265531</v>
      </c>
    </row>
    <row r="289" spans="1:14">
      <c r="A289" s="258" t="s">
        <v>143</v>
      </c>
      <c r="B289" s="278">
        <f>SUM(B287:B288)</f>
        <v>5.4548873222565462</v>
      </c>
      <c r="C289" s="275" t="str">
        <f>CONCATENATE("(",ROUND((B289/$H289)*100,1),")")</f>
        <v>(76.3)</v>
      </c>
      <c r="D289" s="278">
        <f>SUM(D287:D288)</f>
        <v>0.53379341754814724</v>
      </c>
      <c r="E289" s="275" t="str">
        <f>CONCATENATE("(",ROUND((D289/$H289)*100,1),")")</f>
        <v>(7.5)</v>
      </c>
      <c r="F289" s="278">
        <f>SUM(F287:F288)</f>
        <v>1.1613192601952789</v>
      </c>
      <c r="G289" s="275" t="str">
        <f>CONCATENATE("(",ROUND((F289/$H289)*100,1),")")</f>
        <v>(16.2)</v>
      </c>
      <c r="H289" s="278">
        <f>SUM(H287:H288)</f>
        <v>7.1499999999999719</v>
      </c>
      <c r="I289" s="275" t="str">
        <f>CONCATENATE("(",ROUND((H289/$H289)*100,1),")")</f>
        <v>(100)</v>
      </c>
      <c r="K289" s="278">
        <f t="shared" si="222"/>
        <v>0.17897358093028171</v>
      </c>
      <c r="L289" s="278">
        <f t="shared" si="223"/>
        <v>5.1529397289131751E-3</v>
      </c>
      <c r="M289" s="278">
        <f t="shared" si="224"/>
        <v>5.5873479340823762E-2</v>
      </c>
      <c r="N289" s="278">
        <f t="shared" si="225"/>
        <v>0.24000000000001864</v>
      </c>
    </row>
    <row r="290" spans="1:14">
      <c r="B290" s="278"/>
      <c r="C290" s="260"/>
      <c r="D290" s="278"/>
      <c r="E290" s="260"/>
      <c r="F290" s="278"/>
      <c r="G290" s="260"/>
      <c r="H290" s="278"/>
      <c r="I290" s="260"/>
    </row>
    <row r="291" spans="1:14">
      <c r="A291" s="268">
        <f>$A$18</f>
        <v>2035</v>
      </c>
      <c r="B291" s="278"/>
      <c r="C291" s="260"/>
      <c r="D291" s="278"/>
      <c r="E291" s="260"/>
      <c r="F291" s="278"/>
      <c r="G291" s="260"/>
      <c r="H291" s="278"/>
      <c r="I291" s="260"/>
      <c r="K291" s="262" t="str">
        <f>CONCATENATE(A281," - ",A291)</f>
        <v>2020 - 2035</v>
      </c>
    </row>
    <row r="292" spans="1:14">
      <c r="A292" s="258" t="s">
        <v>141</v>
      </c>
      <c r="B292" s="278">
        <f>'Ind T6'!V117</f>
        <v>3.9251999750401252</v>
      </c>
      <c r="C292" s="275" t="str">
        <f>CONCATENATE("(",ROUND((B292/$H294)*100,1),")")</f>
        <v>(53.1)</v>
      </c>
      <c r="D292" s="278">
        <f>'Ind T6'!W117</f>
        <v>0.2155416666630163</v>
      </c>
      <c r="E292" s="275" t="str">
        <f>CONCATENATE("(",ROUND((D292/$H294)*100,1),")")</f>
        <v>(2.9)</v>
      </c>
      <c r="F292" s="278">
        <f>'Ind T6'!X117</f>
        <v>1.0558591567047935</v>
      </c>
      <c r="G292" s="275" t="str">
        <f>CONCATENATE("(",ROUND((F292/$H294)*100,1),")")</f>
        <v>(14.3)</v>
      </c>
      <c r="H292" s="278">
        <f>SUM(B292,D292,F292)</f>
        <v>5.1966007984079354</v>
      </c>
      <c r="I292" s="275" t="str">
        <f>CONCATENATE("(",ROUND((H292/$H294)*100,1),")")</f>
        <v>(70.3)</v>
      </c>
      <c r="K292" s="278">
        <f>B292-B282</f>
        <v>0.17093065499427063</v>
      </c>
      <c r="L292" s="278">
        <f>D292-D282</f>
        <v>1.6132356490846461E-2</v>
      </c>
      <c r="M292" s="278">
        <f>F292-F282</f>
        <v>0.10752917988825084</v>
      </c>
      <c r="N292" s="278">
        <f>SUM(K292:M292)</f>
        <v>0.2945921913733679</v>
      </c>
    </row>
    <row r="293" spans="1:14">
      <c r="A293" s="258" t="s">
        <v>142</v>
      </c>
      <c r="B293" s="278">
        <f>'Ind T6'!V116</f>
        <v>1.7086609281467029</v>
      </c>
      <c r="C293" s="275" t="str">
        <f>CONCATENATE("(",ROUND((B293/$H294)*100,1),")")</f>
        <v>(23.1)</v>
      </c>
      <c r="D293" s="278">
        <f>'Ind T6'!W116</f>
        <v>0.32340469061404409</v>
      </c>
      <c r="E293" s="275" t="str">
        <f>CONCATENATE("(",ROUND((D293/$H294)*100,1),")")</f>
        <v>(4.4)</v>
      </c>
      <c r="F293" s="278">
        <f>'Ind T6'!X116</f>
        <v>0.16133358283130916</v>
      </c>
      <c r="G293" s="275" t="str">
        <f>CONCATENATE("(",ROUND((F293/$H294)*100,1),")")</f>
        <v>(2.2)</v>
      </c>
      <c r="H293" s="278">
        <f t="shared" ref="H293" si="226">SUM(B293,D293,F293)</f>
        <v>2.1933992015920563</v>
      </c>
      <c r="I293" s="275" t="str">
        <f>CONCATENATE("(",ROUND((H293/$H294)*100,1),")")</f>
        <v>(29.7)</v>
      </c>
      <c r="K293" s="278">
        <f t="shared" ref="K293:K294" si="227">B293-B283</f>
        <v>0.20511666266023054</v>
      </c>
      <c r="L293" s="278">
        <f t="shared" ref="L293:L294" si="228">D293-D283</f>
        <v>4.5237821036572812E-3</v>
      </c>
      <c r="M293" s="278">
        <f t="shared" ref="M293:M294" si="229">F293-F283</f>
        <v>1.2767363862748127E-2</v>
      </c>
      <c r="N293" s="278">
        <f t="shared" ref="N293:N294" si="230">SUM(K293:M293)</f>
        <v>0.22240780862663595</v>
      </c>
    </row>
    <row r="294" spans="1:14">
      <c r="A294" s="258" t="s">
        <v>143</v>
      </c>
      <c r="B294" s="278">
        <f>SUM(B292:B293)</f>
        <v>5.6338609031868279</v>
      </c>
      <c r="C294" s="275" t="str">
        <f>CONCATENATE("(",ROUND((B294/$H294)*100,1),")")</f>
        <v>(76.2)</v>
      </c>
      <c r="D294" s="278">
        <f>SUM(D292:D293)</f>
        <v>0.53894635727706042</v>
      </c>
      <c r="E294" s="275" t="str">
        <f>CONCATENATE("(",ROUND((D294/$H294)*100,1),")")</f>
        <v>(7.3)</v>
      </c>
      <c r="F294" s="278">
        <f>SUM(F292:F293)</f>
        <v>1.2171927395361026</v>
      </c>
      <c r="G294" s="275" t="str">
        <f>CONCATENATE("(",ROUND((F294/$H294)*100,1),")")</f>
        <v>(16.5)</v>
      </c>
      <c r="H294" s="278">
        <f>SUM(H292:H293)</f>
        <v>7.3899999999999917</v>
      </c>
      <c r="I294" s="275" t="str">
        <f>CONCATENATE("(",ROUND((H294/$H294)*100,1),")")</f>
        <v>(100)</v>
      </c>
      <c r="K294" s="278">
        <f t="shared" si="227"/>
        <v>0.37604731765450072</v>
      </c>
      <c r="L294" s="278">
        <f t="shared" si="228"/>
        <v>2.065613859450377E-2</v>
      </c>
      <c r="M294" s="278">
        <f t="shared" si="229"/>
        <v>0.12029654375099885</v>
      </c>
      <c r="N294" s="278">
        <f t="shared" si="230"/>
        <v>0.51700000000000335</v>
      </c>
    </row>
    <row r="295" spans="1:14">
      <c r="A295" s="269"/>
      <c r="B295" s="270"/>
      <c r="C295" s="269"/>
      <c r="D295" s="270"/>
      <c r="E295" s="269"/>
      <c r="F295" s="270"/>
      <c r="G295" s="269"/>
      <c r="H295" s="270"/>
      <c r="I295" s="269"/>
      <c r="J295" s="269"/>
      <c r="K295" s="270"/>
      <c r="L295" s="270"/>
      <c r="M295" s="270"/>
      <c r="N295" s="270"/>
    </row>
    <row r="299" spans="1:14">
      <c r="A299" s="264"/>
      <c r="B299" s="265" t="s">
        <v>130</v>
      </c>
      <c r="C299" s="264"/>
      <c r="D299" s="265"/>
      <c r="E299" s="264"/>
      <c r="F299" s="265" t="str">
        <f>name!B17</f>
        <v>Finance and insurance</v>
      </c>
      <c r="G299" s="264"/>
      <c r="H299" s="267"/>
      <c r="I299" s="264"/>
      <c r="J299" s="266"/>
      <c r="K299" s="267"/>
      <c r="L299" s="267"/>
      <c r="M299" s="267"/>
      <c r="N299" s="267"/>
    </row>
    <row r="300" spans="1:14">
      <c r="N300" s="263" t="s">
        <v>131</v>
      </c>
    </row>
    <row r="301" spans="1:14">
      <c r="A301" s="159" t="s">
        <v>132</v>
      </c>
      <c r="B301" s="344" t="s">
        <v>133</v>
      </c>
      <c r="C301" s="344"/>
      <c r="D301" s="344" t="s">
        <v>134</v>
      </c>
      <c r="E301" s="344"/>
      <c r="F301" s="344" t="s">
        <v>135</v>
      </c>
      <c r="G301" s="344"/>
      <c r="H301" s="344" t="s">
        <v>117</v>
      </c>
      <c r="I301" s="344"/>
      <c r="J301" s="159"/>
      <c r="K301" s="273" t="s">
        <v>136</v>
      </c>
      <c r="L301" s="273" t="s">
        <v>137</v>
      </c>
      <c r="M301" s="273" t="s">
        <v>138</v>
      </c>
      <c r="N301" s="273" t="s">
        <v>117</v>
      </c>
    </row>
    <row r="302" spans="1:14">
      <c r="A302" s="268">
        <f>$A$8</f>
        <v>2020</v>
      </c>
      <c r="B302" s="263" t="s">
        <v>139</v>
      </c>
      <c r="C302" s="19" t="s">
        <v>140</v>
      </c>
      <c r="D302" s="263" t="s">
        <v>139</v>
      </c>
      <c r="E302" s="19" t="s">
        <v>140</v>
      </c>
      <c r="F302" s="263" t="s">
        <v>139</v>
      </c>
      <c r="G302" s="19" t="s">
        <v>140</v>
      </c>
      <c r="H302" s="263" t="s">
        <v>139</v>
      </c>
      <c r="I302" s="19" t="s">
        <v>140</v>
      </c>
      <c r="J302" s="159"/>
      <c r="K302" s="262" t="str">
        <f>CONCATENATE(A302," - ",A307)</f>
        <v>2020 - 2025</v>
      </c>
      <c r="L302" s="261"/>
      <c r="M302" s="261"/>
    </row>
    <row r="303" spans="1:14">
      <c r="A303" s="258" t="s">
        <v>141</v>
      </c>
      <c r="B303" s="278">
        <f>'Ind T6'!L126</f>
        <v>4.2714794930292435</v>
      </c>
      <c r="C303" s="275" t="str">
        <f>CONCATENATE("(",ROUND((B303/$H305)*100,1),")")</f>
        <v>(40.9)</v>
      </c>
      <c r="D303" s="278">
        <f>'Ind T6'!M126</f>
        <v>0.33477445120701227</v>
      </c>
      <c r="E303" s="275" t="str">
        <f>CONCATENATE("(",ROUND((D303/$H305)*100,1),")")</f>
        <v>(3.2)</v>
      </c>
      <c r="F303" s="278">
        <f>'Ind T6'!N126</f>
        <v>0.74555334940682294</v>
      </c>
      <c r="G303" s="275" t="str">
        <f>CONCATENATE("(",ROUND((F303/$H305)*100,1),")")</f>
        <v>(7.1)</v>
      </c>
      <c r="H303" s="278">
        <f>SUM(B303,D303,F303)</f>
        <v>5.3518072936430787</v>
      </c>
      <c r="I303" s="275" t="str">
        <f>CONCATENATE("(",ROUND((H303/$H305)*100,1),")")</f>
        <v>(51.3)</v>
      </c>
      <c r="K303" s="278">
        <f>B308-B303</f>
        <v>-2.8060175925226361E-3</v>
      </c>
      <c r="L303" s="278">
        <f>D308-D303</f>
        <v>1.351945061831461E-2</v>
      </c>
      <c r="M303" s="278">
        <f>F308-F303</f>
        <v>3.7071340765975069E-2</v>
      </c>
      <c r="N303" s="278">
        <f>SUM(K303:M303)</f>
        <v>4.7784773791767043E-2</v>
      </c>
    </row>
    <row r="304" spans="1:14">
      <c r="A304" s="258" t="s">
        <v>142</v>
      </c>
      <c r="B304" s="278">
        <f>'Ind T6'!L125</f>
        <v>3.4175384789241572</v>
      </c>
      <c r="C304" s="275" t="str">
        <f>CONCATENATE("(",ROUND((B304/$H305)*100,1),")")</f>
        <v>(32.7)</v>
      </c>
      <c r="D304" s="278">
        <f>'Ind T6'!M125</f>
        <v>1.5304397394025089</v>
      </c>
      <c r="E304" s="275" t="str">
        <f>CONCATENATE("(",ROUND((D304/$H305)*100,1),")")</f>
        <v>(14.7)</v>
      </c>
      <c r="F304" s="278">
        <f>'Ind T6'!N125</f>
        <v>0.14121448803024822</v>
      </c>
      <c r="G304" s="275" t="str">
        <f>CONCATENATE("(",ROUND((F304/$H305)*100,1),")")</f>
        <v>(1.4)</v>
      </c>
      <c r="H304" s="278">
        <f t="shared" ref="H304" si="231">SUM(B304,D304,F304)</f>
        <v>5.089192706356914</v>
      </c>
      <c r="I304" s="275" t="str">
        <f>CONCATENATE("(",ROUND((H304/$H305)*100,1),")")</f>
        <v>(48.7)</v>
      </c>
      <c r="K304" s="278">
        <f t="shared" ref="K304:K305" si="232">B309-B304</f>
        <v>-1.6786159330901551E-2</v>
      </c>
      <c r="L304" s="278">
        <f t="shared" ref="L304:L305" si="233">D309-D304</f>
        <v>-2.3683595228106924E-2</v>
      </c>
      <c r="M304" s="278">
        <f t="shared" ref="M304:M305" si="234">F309-F304</f>
        <v>5.6849807672408603E-3</v>
      </c>
      <c r="N304" s="278">
        <f t="shared" ref="N304:N305" si="235">SUM(K304:M304)</f>
        <v>-3.4784773791767615E-2</v>
      </c>
    </row>
    <row r="305" spans="1:14">
      <c r="A305" s="258" t="s">
        <v>143</v>
      </c>
      <c r="B305" s="278">
        <f>SUM(B303:B304)</f>
        <v>7.6890179719534011</v>
      </c>
      <c r="C305" s="275" t="str">
        <f>CONCATENATE("(",ROUND((B305/$H305)*100,1),")")</f>
        <v>(73.6)</v>
      </c>
      <c r="D305" s="278">
        <f>SUM(D303:D304)</f>
        <v>1.8652141906095212</v>
      </c>
      <c r="E305" s="275" t="str">
        <f>CONCATENATE("(",ROUND((D305/$H305)*100,1),")")</f>
        <v>(17.9)</v>
      </c>
      <c r="F305" s="278">
        <f>SUM(F303:F304)</f>
        <v>0.8867678374370711</v>
      </c>
      <c r="G305" s="275" t="str">
        <f>CONCATENATE("(",ROUND((F305/$H305)*100,1),")")</f>
        <v>(8.5)</v>
      </c>
      <c r="H305" s="278">
        <f>SUM(H303:H304)</f>
        <v>10.440999999999992</v>
      </c>
      <c r="I305" s="275" t="str">
        <f>CONCATENATE("(",ROUND((H305/$H305)*100,1),")")</f>
        <v>(100)</v>
      </c>
      <c r="K305" s="278">
        <f t="shared" si="232"/>
        <v>-1.9592176923424631E-2</v>
      </c>
      <c r="L305" s="278">
        <f t="shared" si="233"/>
        <v>-1.0164144609792425E-2</v>
      </c>
      <c r="M305" s="278">
        <f t="shared" si="234"/>
        <v>4.2756321533215957E-2</v>
      </c>
      <c r="N305" s="278">
        <f t="shared" si="235"/>
        <v>1.2999999999998901E-2</v>
      </c>
    </row>
    <row r="306" spans="1:14">
      <c r="B306" s="278"/>
      <c r="C306" s="260"/>
      <c r="D306" s="278"/>
      <c r="E306" s="260"/>
      <c r="F306" s="278"/>
      <c r="G306" s="260"/>
      <c r="H306" s="278"/>
      <c r="I306" s="260"/>
    </row>
    <row r="307" spans="1:14">
      <c r="A307" s="268">
        <f>$A$13</f>
        <v>2025</v>
      </c>
      <c r="B307" s="278"/>
      <c r="C307" s="260"/>
      <c r="D307" s="278"/>
      <c r="E307" s="260"/>
      <c r="F307" s="278"/>
      <c r="G307" s="260"/>
      <c r="H307" s="278"/>
      <c r="I307" s="260"/>
      <c r="K307" s="262" t="str">
        <f>CONCATENATE(A307," - ",A312)</f>
        <v>2025 - 2035</v>
      </c>
    </row>
    <row r="308" spans="1:14">
      <c r="A308" s="258" t="s">
        <v>141</v>
      </c>
      <c r="B308" s="278">
        <f>'Ind T6'!Q126</f>
        <v>4.2686734754367208</v>
      </c>
      <c r="C308" s="275" t="str">
        <f>CONCATENATE("(",ROUND((B308/$H310)*100,1),")")</f>
        <v>(40.8)</v>
      </c>
      <c r="D308" s="278">
        <f>'Ind T6'!R126</f>
        <v>0.34829390182532688</v>
      </c>
      <c r="E308" s="275" t="str">
        <f>CONCATENATE("(",ROUND((D308/$H310)*100,1),")")</f>
        <v>(3.3)</v>
      </c>
      <c r="F308" s="278">
        <f>'Ind T6'!S126</f>
        <v>0.78262469017279801</v>
      </c>
      <c r="G308" s="275" t="str">
        <f>CONCATENATE("(",ROUND((F308/$H310)*100,1),")")</f>
        <v>(7.5)</v>
      </c>
      <c r="H308" s="278">
        <f>SUM(B308,D308,F308)</f>
        <v>5.3995920674348463</v>
      </c>
      <c r="I308" s="275" t="str">
        <f>CONCATENATE("(",ROUND((H308/$H310)*100,1),")")</f>
        <v>(51.7)</v>
      </c>
      <c r="K308" s="278">
        <f>B313-B308</f>
        <v>-0.17416301461615102</v>
      </c>
      <c r="L308" s="278">
        <f>D313-D308</f>
        <v>8.5555500749584512E-3</v>
      </c>
      <c r="M308" s="278">
        <f>F313-F308</f>
        <v>-1.8220911339404955E-3</v>
      </c>
      <c r="N308" s="278">
        <f>SUM(K308:M308)</f>
        <v>-0.16742955567513307</v>
      </c>
    </row>
    <row r="309" spans="1:14">
      <c r="A309" s="258" t="s">
        <v>142</v>
      </c>
      <c r="B309" s="278">
        <f>'Ind T6'!Q125</f>
        <v>3.4007523195932556</v>
      </c>
      <c r="C309" s="275" t="str">
        <f>CONCATENATE("(",ROUND((B309/$H310)*100,1),")")</f>
        <v>(32.5)</v>
      </c>
      <c r="D309" s="278">
        <f>'Ind T6'!R125</f>
        <v>1.506756144174402</v>
      </c>
      <c r="E309" s="275" t="str">
        <f>CONCATENATE("(",ROUND((D309/$H310)*100,1),")")</f>
        <v>(14.4)</v>
      </c>
      <c r="F309" s="278">
        <f>'Ind T6'!S125</f>
        <v>0.14689946879748908</v>
      </c>
      <c r="G309" s="275" t="str">
        <f>CONCATENATE("(",ROUND((F309/$H310)*100,1),")")</f>
        <v>(1.4)</v>
      </c>
      <c r="H309" s="278">
        <f t="shared" ref="H309" si="236">SUM(B309,D309,F309)</f>
        <v>5.0544079325651463</v>
      </c>
      <c r="I309" s="275" t="str">
        <f>CONCATENATE("(",ROUND((H309/$H310)*100,1),")")</f>
        <v>(48.3)</v>
      </c>
      <c r="K309" s="278">
        <f t="shared" ref="K309:K310" si="237">B314-B309</f>
        <v>-0.14925980422724017</v>
      </c>
      <c r="L309" s="278">
        <f t="shared" ref="L309:L310" si="238">D314-D309</f>
        <v>-7.9358336549180786E-2</v>
      </c>
      <c r="M309" s="278">
        <f t="shared" ref="M309:M310" si="239">F314-F309</f>
        <v>-3.952303548436481E-3</v>
      </c>
      <c r="N309" s="278">
        <f t="shared" ref="N309:N310" si="240">SUM(K309:M309)</f>
        <v>-0.23257044432485743</v>
      </c>
    </row>
    <row r="310" spans="1:14">
      <c r="A310" s="258" t="s">
        <v>143</v>
      </c>
      <c r="B310" s="278">
        <f>SUM(B308:B309)</f>
        <v>7.6694257950299765</v>
      </c>
      <c r="C310" s="275" t="str">
        <f>CONCATENATE("(",ROUND((B310/$H310)*100,1),")")</f>
        <v>(73.4)</v>
      </c>
      <c r="D310" s="278">
        <f>SUM(D308:D309)</f>
        <v>1.8550500459997288</v>
      </c>
      <c r="E310" s="275" t="str">
        <f>CONCATENATE("(",ROUND((D310/$H310)*100,1),")")</f>
        <v>(17.7)</v>
      </c>
      <c r="F310" s="278">
        <f>SUM(F308:F309)</f>
        <v>0.92952415897028706</v>
      </c>
      <c r="G310" s="275" t="str">
        <f>CONCATENATE("(",ROUND((F310/$H310)*100,1),")")</f>
        <v>(8.9)</v>
      </c>
      <c r="H310" s="278">
        <f>SUM(H308:H309)</f>
        <v>10.453999999999994</v>
      </c>
      <c r="I310" s="275" t="str">
        <f>CONCATENATE("(",ROUND((H310/$H310)*100,1),")")</f>
        <v>(100)</v>
      </c>
      <c r="K310" s="278">
        <f t="shared" si="237"/>
        <v>-0.32342281884339119</v>
      </c>
      <c r="L310" s="278">
        <f t="shared" si="238"/>
        <v>-7.0802786474222223E-2</v>
      </c>
      <c r="M310" s="278">
        <f t="shared" si="239"/>
        <v>-5.7743946823769488E-3</v>
      </c>
      <c r="N310" s="278">
        <f t="shared" si="240"/>
        <v>-0.39999999999999036</v>
      </c>
    </row>
    <row r="311" spans="1:14">
      <c r="B311" s="278"/>
      <c r="C311" s="260"/>
      <c r="D311" s="278"/>
      <c r="E311" s="260"/>
      <c r="F311" s="278"/>
      <c r="G311" s="260"/>
      <c r="H311" s="278"/>
      <c r="I311" s="260"/>
    </row>
    <row r="312" spans="1:14">
      <c r="A312" s="268">
        <f>$A$18</f>
        <v>2035</v>
      </c>
      <c r="B312" s="278"/>
      <c r="C312" s="260"/>
      <c r="D312" s="278"/>
      <c r="E312" s="260"/>
      <c r="F312" s="278"/>
      <c r="G312" s="260"/>
      <c r="H312" s="278"/>
      <c r="I312" s="260"/>
      <c r="K312" s="262" t="str">
        <f>CONCATENATE(A302," - ",A312)</f>
        <v>2020 - 2035</v>
      </c>
    </row>
    <row r="313" spans="1:14">
      <c r="A313" s="258" t="s">
        <v>141</v>
      </c>
      <c r="B313" s="278">
        <f>'Ind T6'!V126</f>
        <v>4.0945104608205698</v>
      </c>
      <c r="C313" s="275" t="str">
        <f>CONCATENATE("(",ROUND((B313/$H315)*100,1),")")</f>
        <v>(40.7)</v>
      </c>
      <c r="D313" s="278">
        <f>'Ind T6'!W126</f>
        <v>0.35684945190028533</v>
      </c>
      <c r="E313" s="275" t="str">
        <f>CONCATENATE("(",ROUND((D313/$H315)*100,1),")")</f>
        <v>(3.5)</v>
      </c>
      <c r="F313" s="278">
        <f>'Ind T6'!X126</f>
        <v>0.78080259903885751</v>
      </c>
      <c r="G313" s="275" t="str">
        <f>CONCATENATE("(",ROUND((F313/$H315)*100,1),")")</f>
        <v>(7.8)</v>
      </c>
      <c r="H313" s="278">
        <f>SUM(B313,D313,F313)</f>
        <v>5.2321625117597126</v>
      </c>
      <c r="I313" s="275" t="str">
        <f>CONCATENATE("(",ROUND((H313/$H315)*100,1),")")</f>
        <v>(52)</v>
      </c>
      <c r="K313" s="278">
        <f>B313-B303</f>
        <v>-0.17696903220867366</v>
      </c>
      <c r="L313" s="278">
        <f>D313-D303</f>
        <v>2.2075000693273061E-2</v>
      </c>
      <c r="M313" s="278">
        <f>F313-F303</f>
        <v>3.5249249632034574E-2</v>
      </c>
      <c r="N313" s="278">
        <f>SUM(K313:M313)</f>
        <v>-0.11964478188336602</v>
      </c>
    </row>
    <row r="314" spans="1:14">
      <c r="A314" s="258" t="s">
        <v>142</v>
      </c>
      <c r="B314" s="278">
        <f>'Ind T6'!V125</f>
        <v>3.2514925153660155</v>
      </c>
      <c r="C314" s="275" t="str">
        <f>CONCATENATE("(",ROUND((B314/$H315)*100,1),")")</f>
        <v>(32.3)</v>
      </c>
      <c r="D314" s="278">
        <f>'Ind T6'!W125</f>
        <v>1.4273978076252212</v>
      </c>
      <c r="E314" s="275" t="str">
        <f>CONCATENATE("(",ROUND((D314/$H315)*100,1),")")</f>
        <v>(14.2)</v>
      </c>
      <c r="F314" s="278">
        <f>'Ind T6'!X125</f>
        <v>0.1429471652490526</v>
      </c>
      <c r="G314" s="275" t="str">
        <f>CONCATENATE("(",ROUND((F314/$H315)*100,1),")")</f>
        <v>(1.4)</v>
      </c>
      <c r="H314" s="278">
        <f t="shared" ref="H314" si="241">SUM(B314,D314,F314)</f>
        <v>4.8218374882402895</v>
      </c>
      <c r="I314" s="275" t="str">
        <f>CONCATENATE("(",ROUND((H314/$H315)*100,1),")")</f>
        <v>(48)</v>
      </c>
      <c r="K314" s="278">
        <f t="shared" ref="K314:K315" si="242">B314-B304</f>
        <v>-0.16604596355814172</v>
      </c>
      <c r="L314" s="278">
        <f t="shared" ref="L314:L315" si="243">D314-D304</f>
        <v>-0.10304193177728771</v>
      </c>
      <c r="M314" s="278">
        <f t="shared" ref="M314:M315" si="244">F314-F304</f>
        <v>1.7326772188043793E-3</v>
      </c>
      <c r="N314" s="278">
        <f t="shared" ref="N314:N315" si="245">SUM(K314:M314)</f>
        <v>-0.26735521811662505</v>
      </c>
    </row>
    <row r="315" spans="1:14">
      <c r="A315" s="258" t="s">
        <v>143</v>
      </c>
      <c r="B315" s="278">
        <f>SUM(B313:B314)</f>
        <v>7.3460029761865853</v>
      </c>
      <c r="C315" s="275" t="str">
        <f>CONCATENATE("(",ROUND((B315/$H315)*100,1),")")</f>
        <v>(73.1)</v>
      </c>
      <c r="D315" s="278">
        <f>SUM(D313:D314)</f>
        <v>1.7842472595255066</v>
      </c>
      <c r="E315" s="275" t="str">
        <f>CONCATENATE("(",ROUND((D315/$H315)*100,1),")")</f>
        <v>(17.7)</v>
      </c>
      <c r="F315" s="278">
        <f>SUM(F313:F314)</f>
        <v>0.92374976428791011</v>
      </c>
      <c r="G315" s="275" t="str">
        <f>CONCATENATE("(",ROUND((F315/$H315)*100,1),")")</f>
        <v>(9.2)</v>
      </c>
      <c r="H315" s="278">
        <f>SUM(H313:H314)</f>
        <v>10.054000000000002</v>
      </c>
      <c r="I315" s="275" t="str">
        <f>CONCATENATE("(",ROUND((H315/$H315)*100,1),")")</f>
        <v>(100)</v>
      </c>
      <c r="K315" s="278">
        <f t="shared" si="242"/>
        <v>-0.34301499576681582</v>
      </c>
      <c r="L315" s="278">
        <f t="shared" si="243"/>
        <v>-8.0966931084014648E-2</v>
      </c>
      <c r="M315" s="278">
        <f t="shared" si="244"/>
        <v>3.6981926850839009E-2</v>
      </c>
      <c r="N315" s="278">
        <f t="shared" si="245"/>
        <v>-0.38699999999999146</v>
      </c>
    </row>
    <row r="316" spans="1:14">
      <c r="A316" s="269"/>
      <c r="B316" s="270"/>
      <c r="C316" s="269"/>
      <c r="D316" s="270"/>
      <c r="E316" s="269"/>
      <c r="F316" s="270"/>
      <c r="G316" s="269"/>
      <c r="H316" s="270"/>
      <c r="I316" s="269"/>
      <c r="J316" s="269"/>
      <c r="K316" s="270"/>
      <c r="L316" s="270"/>
      <c r="M316" s="270"/>
      <c r="N316" s="270"/>
    </row>
    <row r="320" spans="1:14">
      <c r="A320" s="264"/>
      <c r="B320" s="265" t="s">
        <v>130</v>
      </c>
      <c r="C320" s="264"/>
      <c r="D320" s="265"/>
      <c r="E320" s="264"/>
      <c r="F320" s="265" t="str">
        <f>name!B18</f>
        <v>Real estate</v>
      </c>
      <c r="G320" s="264"/>
      <c r="H320" s="267"/>
      <c r="I320" s="264"/>
      <c r="J320" s="266"/>
      <c r="K320" s="267"/>
      <c r="L320" s="267"/>
      <c r="M320" s="267"/>
      <c r="N320" s="267"/>
    </row>
    <row r="321" spans="1:14">
      <c r="N321" s="263" t="s">
        <v>131</v>
      </c>
    </row>
    <row r="322" spans="1:14">
      <c r="A322" s="159" t="s">
        <v>132</v>
      </c>
      <c r="B322" s="344" t="s">
        <v>133</v>
      </c>
      <c r="C322" s="344"/>
      <c r="D322" s="344" t="s">
        <v>134</v>
      </c>
      <c r="E322" s="344"/>
      <c r="F322" s="344" t="s">
        <v>135</v>
      </c>
      <c r="G322" s="344"/>
      <c r="H322" s="344" t="s">
        <v>117</v>
      </c>
      <c r="I322" s="344"/>
      <c r="J322" s="159"/>
      <c r="K322" s="273" t="s">
        <v>136</v>
      </c>
      <c r="L322" s="273" t="s">
        <v>137</v>
      </c>
      <c r="M322" s="273" t="s">
        <v>138</v>
      </c>
      <c r="N322" s="273" t="s">
        <v>117</v>
      </c>
    </row>
    <row r="323" spans="1:14">
      <c r="A323" s="268">
        <f>$A$8</f>
        <v>2020</v>
      </c>
      <c r="B323" s="263" t="s">
        <v>139</v>
      </c>
      <c r="C323" s="19" t="s">
        <v>140</v>
      </c>
      <c r="D323" s="263" t="s">
        <v>139</v>
      </c>
      <c r="E323" s="19" t="s">
        <v>140</v>
      </c>
      <c r="F323" s="263" t="s">
        <v>139</v>
      </c>
      <c r="G323" s="19" t="s">
        <v>140</v>
      </c>
      <c r="H323" s="263" t="s">
        <v>139</v>
      </c>
      <c r="I323" s="19" t="s">
        <v>140</v>
      </c>
      <c r="J323" s="159"/>
      <c r="K323" s="262" t="str">
        <f>CONCATENATE(A323," - ",A328)</f>
        <v>2020 - 2025</v>
      </c>
      <c r="L323" s="261"/>
      <c r="M323" s="261"/>
    </row>
    <row r="324" spans="1:14">
      <c r="A324" s="258" t="s">
        <v>141</v>
      </c>
      <c r="B324" s="278">
        <f>'Ind T6'!L135</f>
        <v>3.1939695092273661</v>
      </c>
      <c r="C324" s="275" t="str">
        <f>CONCATENATE("(",ROUND((B324/$H326)*100,1),")")</f>
        <v>(31.2)</v>
      </c>
      <c r="D324" s="278">
        <f>'Ind T6'!M135</f>
        <v>1.0629778695864152</v>
      </c>
      <c r="E324" s="275" t="str">
        <f>CONCATENATE("(",ROUND((D324/$H326)*100,1),")")</f>
        <v>(10.4)</v>
      </c>
      <c r="F324" s="278">
        <f>'Ind T6'!N135</f>
        <v>0.73504003146447949</v>
      </c>
      <c r="G324" s="275" t="str">
        <f>CONCATENATE("(",ROUND((F324/$H326)*100,1),")")</f>
        <v>(7.2)</v>
      </c>
      <c r="H324" s="278">
        <f>SUM(B324,D324,F324)</f>
        <v>4.9919874102782611</v>
      </c>
      <c r="I324" s="275" t="str">
        <f>CONCATENATE("(",ROUND((H324/$H326)*100,1),")")</f>
        <v>(48.7)</v>
      </c>
      <c r="K324" s="278">
        <f>B329-B324</f>
        <v>2.4388497832661393E-3</v>
      </c>
      <c r="L324" s="278">
        <f>D329-D324</f>
        <v>3.6302632914277932E-3</v>
      </c>
      <c r="M324" s="278">
        <f>F329-F324</f>
        <v>3.9195299319554899E-2</v>
      </c>
      <c r="N324" s="278">
        <f>SUM(K324:M324)</f>
        <v>4.5264412394248832E-2</v>
      </c>
    </row>
    <row r="325" spans="1:14">
      <c r="A325" s="258" t="s">
        <v>142</v>
      </c>
      <c r="B325" s="278">
        <f>'Ind T6'!L134</f>
        <v>2.8005649650685482</v>
      </c>
      <c r="C325" s="275" t="str">
        <f>CONCATENATE("(",ROUND((B325/$H326)*100,1),")")</f>
        <v>(27.3)</v>
      </c>
      <c r="D325" s="278">
        <f>'Ind T6'!M134</f>
        <v>2.074790990459181</v>
      </c>
      <c r="E325" s="275" t="str">
        <f>CONCATENATE("(",ROUND((D325/$H326)*100,1),")")</f>
        <v>(20.3)</v>
      </c>
      <c r="F325" s="278">
        <f>'Ind T6'!N134</f>
        <v>0.37265663419400791</v>
      </c>
      <c r="G325" s="275" t="str">
        <f>CONCATENATE("(",ROUND((F325/$H326)*100,1),")")</f>
        <v>(3.6)</v>
      </c>
      <c r="H325" s="278">
        <f t="shared" ref="H325" si="246">SUM(B325,D325,F325)</f>
        <v>5.2480125897217365</v>
      </c>
      <c r="I325" s="275" t="str">
        <f>CONCATENATE("(",ROUND((H325/$H326)*100,1),")")</f>
        <v>(51.3)</v>
      </c>
      <c r="K325" s="278">
        <f t="shared" ref="K325:K326" si="247">B330-B325</f>
        <v>0.10427436593143069</v>
      </c>
      <c r="L325" s="278">
        <f t="shared" ref="L325:L326" si="248">D330-D325</f>
        <v>-8.7258766991107795E-2</v>
      </c>
      <c r="M325" s="278">
        <f t="shared" ref="M325:M326" si="249">F330-F325</f>
        <v>5.719988665417064E-3</v>
      </c>
      <c r="N325" s="278">
        <f t="shared" ref="N325:N326" si="250">SUM(K325:M325)</f>
        <v>2.273558760573996E-2</v>
      </c>
    </row>
    <row r="326" spans="1:14">
      <c r="A326" s="258" t="s">
        <v>143</v>
      </c>
      <c r="B326" s="278">
        <f>SUM(B324:B325)</f>
        <v>5.9945344742959144</v>
      </c>
      <c r="C326" s="275" t="str">
        <f>CONCATENATE("(",ROUND((B326/$H326)*100,1),")")</f>
        <v>(58.5)</v>
      </c>
      <c r="D326" s="278">
        <f>SUM(D324:D325)</f>
        <v>3.137768860045596</v>
      </c>
      <c r="E326" s="275" t="str">
        <f>CONCATENATE("(",ROUND((D326/$H326)*100,1),")")</f>
        <v>(30.6)</v>
      </c>
      <c r="F326" s="278">
        <f>SUM(F324:F325)</f>
        <v>1.1076966656584875</v>
      </c>
      <c r="G326" s="275" t="str">
        <f>CONCATENATE("(",ROUND((F326/$H326)*100,1),")")</f>
        <v>(10.8)</v>
      </c>
      <c r="H326" s="278">
        <f>SUM(H324:H325)</f>
        <v>10.239999999999998</v>
      </c>
      <c r="I326" s="275" t="str">
        <f>CONCATENATE("(",ROUND((H326/$H326)*100,1),")")</f>
        <v>(100)</v>
      </c>
      <c r="K326" s="278">
        <f t="shared" si="247"/>
        <v>0.10671321571469683</v>
      </c>
      <c r="L326" s="278">
        <f t="shared" si="248"/>
        <v>-8.3628503699679779E-2</v>
      </c>
      <c r="M326" s="278">
        <f t="shared" si="249"/>
        <v>4.4915287984971908E-2</v>
      </c>
      <c r="N326" s="278">
        <f t="shared" si="250"/>
        <v>6.7999999999988958E-2</v>
      </c>
    </row>
    <row r="327" spans="1:14">
      <c r="B327" s="278"/>
      <c r="C327" s="260"/>
      <c r="D327" s="278"/>
      <c r="E327" s="260"/>
      <c r="F327" s="278"/>
      <c r="G327" s="260"/>
      <c r="H327" s="278"/>
      <c r="I327" s="260"/>
    </row>
    <row r="328" spans="1:14">
      <c r="A328" s="268">
        <f>$A$13</f>
        <v>2025</v>
      </c>
      <c r="B328" s="278"/>
      <c r="C328" s="260"/>
      <c r="D328" s="278"/>
      <c r="E328" s="260"/>
      <c r="F328" s="278"/>
      <c r="G328" s="260"/>
      <c r="H328" s="278"/>
      <c r="I328" s="260"/>
      <c r="K328" s="262" t="str">
        <f>CONCATENATE(A328," - ",A333)</f>
        <v>2025 - 2035</v>
      </c>
    </row>
    <row r="329" spans="1:14">
      <c r="A329" s="258" t="s">
        <v>141</v>
      </c>
      <c r="B329" s="278">
        <f>'Ind T6'!Q135</f>
        <v>3.1964083590106322</v>
      </c>
      <c r="C329" s="275" t="str">
        <f>CONCATENATE("(",ROUND((B329/$H331)*100,1),")")</f>
        <v>(31)</v>
      </c>
      <c r="D329" s="278">
        <f>'Ind T6'!R135</f>
        <v>1.066608132877843</v>
      </c>
      <c r="E329" s="275" t="str">
        <f>CONCATENATE("(",ROUND((D329/$H331)*100,1),")")</f>
        <v>(10.3)</v>
      </c>
      <c r="F329" s="278">
        <f>'Ind T6'!S135</f>
        <v>0.77423533078403439</v>
      </c>
      <c r="G329" s="275" t="str">
        <f>CONCATENATE("(",ROUND((F329/$H331)*100,1),")")</f>
        <v>(7.5)</v>
      </c>
      <c r="H329" s="278">
        <f>SUM(B329,D329,F329)</f>
        <v>5.0372518226725091</v>
      </c>
      <c r="I329" s="275" t="str">
        <f>CONCATENATE("(",ROUND((H329/$H331)*100,1),")")</f>
        <v>(48.9)</v>
      </c>
      <c r="K329" s="278">
        <f>B334-B329</f>
        <v>0.24549908878504079</v>
      </c>
      <c r="L329" s="278">
        <f>D334-D329</f>
        <v>0.1028738448997446</v>
      </c>
      <c r="M329" s="278">
        <f>F334-F329</f>
        <v>0.13162194559577867</v>
      </c>
      <c r="N329" s="278">
        <f>SUM(K329:M329)</f>
        <v>0.47999487928056406</v>
      </c>
    </row>
    <row r="330" spans="1:14">
      <c r="A330" s="258" t="s">
        <v>142</v>
      </c>
      <c r="B330" s="278">
        <f>'Ind T6'!Q134</f>
        <v>2.9048393309999789</v>
      </c>
      <c r="C330" s="275" t="str">
        <f>CONCATENATE("(",ROUND((B330/$H331)*100,1),")")</f>
        <v>(28.2)</v>
      </c>
      <c r="D330" s="278">
        <f>'Ind T6'!R134</f>
        <v>1.9875322234680732</v>
      </c>
      <c r="E330" s="275" t="str">
        <f>CONCATENATE("(",ROUND((D330/$H331)*100,1),")")</f>
        <v>(19.3)</v>
      </c>
      <c r="F330" s="278">
        <f>'Ind T6'!S134</f>
        <v>0.37837662285942497</v>
      </c>
      <c r="G330" s="275" t="str">
        <f>CONCATENATE("(",ROUND((F330/$H331)*100,1),")")</f>
        <v>(3.7)</v>
      </c>
      <c r="H330" s="278">
        <f t="shared" ref="H330" si="251">SUM(B330,D330,F330)</f>
        <v>5.2707481773274774</v>
      </c>
      <c r="I330" s="275" t="str">
        <f>CONCATENATE("(",ROUND((H330/$H331)*100,1),")")</f>
        <v>(51.1)</v>
      </c>
      <c r="K330" s="278">
        <f t="shared" ref="K330:K331" si="252">B335-B330</f>
        <v>0.44562633850935285</v>
      </c>
      <c r="L330" s="278">
        <f t="shared" ref="L330:L331" si="253">D335-D330</f>
        <v>-2.7759812536331196E-2</v>
      </c>
      <c r="M330" s="278">
        <f t="shared" ref="M330:M331" si="254">F335-F330</f>
        <v>3.2138594746434934E-2</v>
      </c>
      <c r="N330" s="278">
        <f t="shared" ref="N330:N331" si="255">SUM(K330:M330)</f>
        <v>0.45000512071945659</v>
      </c>
    </row>
    <row r="331" spans="1:14">
      <c r="A331" s="258" t="s">
        <v>143</v>
      </c>
      <c r="B331" s="278">
        <f>SUM(B329:B330)</f>
        <v>6.1012476900106112</v>
      </c>
      <c r="C331" s="275" t="str">
        <f>CONCATENATE("(",ROUND((B331/$H331)*100,1),")")</f>
        <v>(59.2)</v>
      </c>
      <c r="D331" s="278">
        <f>SUM(D329:D330)</f>
        <v>3.0541403563459162</v>
      </c>
      <c r="E331" s="275" t="str">
        <f>CONCATENATE("(",ROUND((D331/$H331)*100,1),")")</f>
        <v>(29.6)</v>
      </c>
      <c r="F331" s="278">
        <f>SUM(F329:F330)</f>
        <v>1.1526119536434594</v>
      </c>
      <c r="G331" s="275" t="str">
        <f>CONCATENATE("(",ROUND((F331/$H331)*100,1),")")</f>
        <v>(11.2)</v>
      </c>
      <c r="H331" s="278">
        <f>SUM(H329:H330)</f>
        <v>10.307999999999986</v>
      </c>
      <c r="I331" s="275" t="str">
        <f>CONCATENATE("(",ROUND((H331/$H331)*100,1),")")</f>
        <v>(100)</v>
      </c>
      <c r="K331" s="278">
        <f t="shared" si="252"/>
        <v>0.69112542729439319</v>
      </c>
      <c r="L331" s="278">
        <f t="shared" si="253"/>
        <v>7.5114032363413408E-2</v>
      </c>
      <c r="M331" s="278">
        <f t="shared" si="254"/>
        <v>0.16376054034221355</v>
      </c>
      <c r="N331" s="278">
        <f t="shared" si="255"/>
        <v>0.93000000000002014</v>
      </c>
    </row>
    <row r="332" spans="1:14">
      <c r="B332" s="278"/>
      <c r="C332" s="260"/>
      <c r="D332" s="278"/>
      <c r="E332" s="260"/>
      <c r="F332" s="278"/>
      <c r="G332" s="260"/>
      <c r="H332" s="278"/>
      <c r="I332" s="260"/>
    </row>
    <row r="333" spans="1:14">
      <c r="A333" s="268">
        <f>$A$18</f>
        <v>2035</v>
      </c>
      <c r="B333" s="278"/>
      <c r="C333" s="260"/>
      <c r="D333" s="278"/>
      <c r="E333" s="260"/>
      <c r="F333" s="278"/>
      <c r="G333" s="260"/>
      <c r="H333" s="278"/>
      <c r="I333" s="260"/>
      <c r="K333" s="262" t="str">
        <f>CONCATENATE(A323," - ",A333)</f>
        <v>2020 - 2035</v>
      </c>
    </row>
    <row r="334" spans="1:14">
      <c r="A334" s="258" t="s">
        <v>141</v>
      </c>
      <c r="B334" s="278">
        <f>'Ind T6'!V135</f>
        <v>3.441907447795673</v>
      </c>
      <c r="C334" s="275" t="str">
        <f>CONCATENATE("(",ROUND((B334/$H336)*100,1),")")</f>
        <v>(30.6)</v>
      </c>
      <c r="D334" s="278">
        <f>'Ind T6'!W135</f>
        <v>1.1694819777775876</v>
      </c>
      <c r="E334" s="275" t="str">
        <f>CONCATENATE("(",ROUND((D334/$H336)*100,1),")")</f>
        <v>(10.4)</v>
      </c>
      <c r="F334" s="278">
        <f>'Ind T6'!X135</f>
        <v>0.90585727637981306</v>
      </c>
      <c r="G334" s="275" t="str">
        <f>CONCATENATE("(",ROUND((F334/$H336)*100,1),")")</f>
        <v>(8.1)</v>
      </c>
      <c r="H334" s="278">
        <f>SUM(B334,D334,F334)</f>
        <v>5.5172467019530744</v>
      </c>
      <c r="I334" s="275" t="str">
        <f>CONCATENATE("(",ROUND((H334/$H336)*100,1),")")</f>
        <v>(49.1)</v>
      </c>
      <c r="K334" s="278">
        <f>B334-B324</f>
        <v>0.24793793856830693</v>
      </c>
      <c r="L334" s="278">
        <f>D334-D324</f>
        <v>0.1065041081911724</v>
      </c>
      <c r="M334" s="278">
        <f>F334-F324</f>
        <v>0.17081724491533357</v>
      </c>
      <c r="N334" s="278">
        <f>SUM(K334:M334)</f>
        <v>0.52525929167481289</v>
      </c>
    </row>
    <row r="335" spans="1:14">
      <c r="A335" s="258" t="s">
        <v>142</v>
      </c>
      <c r="B335" s="278">
        <f>'Ind T6'!V134</f>
        <v>3.3504656695093318</v>
      </c>
      <c r="C335" s="275" t="str">
        <f>CONCATENATE("(",ROUND((B335/$H336)*100,1),")")</f>
        <v>(29.8)</v>
      </c>
      <c r="D335" s="278">
        <f>'Ind T6'!W134</f>
        <v>1.959772410931742</v>
      </c>
      <c r="E335" s="275" t="str">
        <f>CONCATENATE("(",ROUND((D335/$H336)*100,1),")")</f>
        <v>(17.4)</v>
      </c>
      <c r="F335" s="278">
        <f>'Ind T6'!X134</f>
        <v>0.41051521760585991</v>
      </c>
      <c r="G335" s="275" t="str">
        <f>CONCATENATE("(",ROUND((F335/$H336)*100,1),")")</f>
        <v>(3.7)</v>
      </c>
      <c r="H335" s="278">
        <f>SUM(B335,D335,F335)</f>
        <v>5.720753298046934</v>
      </c>
      <c r="I335" s="275" t="str">
        <f>CONCATENATE("(",ROUND((H335/$H336)*100,1),")")</f>
        <v>(50.9)</v>
      </c>
      <c r="K335" s="278">
        <f t="shared" ref="K335:K336" si="256">B335-B325</f>
        <v>0.54990070444078354</v>
      </c>
      <c r="L335" s="278">
        <f t="shared" ref="L335:L336" si="257">D335-D325</f>
        <v>-0.11501857952743899</v>
      </c>
      <c r="M335" s="278">
        <f t="shared" ref="M335:M336" si="258">F335-F325</f>
        <v>3.7858583411851998E-2</v>
      </c>
      <c r="N335" s="278">
        <f t="shared" ref="N335:N336" si="259">SUM(K335:M335)</f>
        <v>0.47274070832519655</v>
      </c>
    </row>
    <row r="336" spans="1:14">
      <c r="A336" s="258" t="s">
        <v>143</v>
      </c>
      <c r="B336" s="278">
        <f>SUM(B334:B335)</f>
        <v>6.7923731173050044</v>
      </c>
      <c r="C336" s="275" t="str">
        <f>CONCATENATE("(",ROUND((B336/$H336)*100,1),")")</f>
        <v>(60.4)</v>
      </c>
      <c r="D336" s="278">
        <f>SUM(D334:D335)</f>
        <v>3.1292543887093296</v>
      </c>
      <c r="E336" s="275" t="str">
        <f>CONCATENATE("(",ROUND((D336/$H336)*100,1),")")</f>
        <v>(27.8)</v>
      </c>
      <c r="F336" s="278">
        <f>SUM(F334:F335)</f>
        <v>1.3163724939856729</v>
      </c>
      <c r="G336" s="275" t="str">
        <f>CONCATENATE("(",ROUND((F336/$H336)*100,1),")")</f>
        <v>(11.7)</v>
      </c>
      <c r="H336" s="278">
        <f>SUM(H334:H335)</f>
        <v>11.238000000000008</v>
      </c>
      <c r="I336" s="275" t="str">
        <f>CONCATENATE("(",ROUND((H336/$H336)*100,1),")")</f>
        <v>(100)</v>
      </c>
      <c r="K336" s="278">
        <f t="shared" si="256"/>
        <v>0.79783864300909002</v>
      </c>
      <c r="L336" s="278">
        <f t="shared" si="257"/>
        <v>-8.5144713362663715E-3</v>
      </c>
      <c r="M336" s="278">
        <f t="shared" si="258"/>
        <v>0.20867582832718545</v>
      </c>
      <c r="N336" s="278">
        <f t="shared" si="259"/>
        <v>0.9980000000000091</v>
      </c>
    </row>
    <row r="337" spans="1:14">
      <c r="A337" s="269"/>
      <c r="B337" s="270"/>
      <c r="C337" s="269"/>
      <c r="D337" s="270"/>
      <c r="E337" s="269"/>
      <c r="F337" s="270"/>
      <c r="G337" s="269"/>
      <c r="H337" s="270"/>
      <c r="I337" s="269"/>
      <c r="J337" s="269"/>
      <c r="K337" s="270"/>
      <c r="L337" s="270"/>
      <c r="M337" s="270"/>
      <c r="N337" s="270"/>
    </row>
    <row r="341" spans="1:14">
      <c r="A341" s="264"/>
      <c r="B341" s="265" t="s">
        <v>130</v>
      </c>
      <c r="C341" s="264"/>
      <c r="D341" s="265"/>
      <c r="E341" s="264"/>
      <c r="F341" s="265" t="str">
        <f>name!B19</f>
        <v>Professional services</v>
      </c>
      <c r="G341" s="264"/>
      <c r="H341" s="267"/>
      <c r="I341" s="264"/>
      <c r="J341" s="266"/>
      <c r="K341" s="267"/>
      <c r="L341" s="267"/>
      <c r="M341" s="267"/>
      <c r="N341" s="267"/>
    </row>
    <row r="342" spans="1:14">
      <c r="N342" s="263" t="s">
        <v>131</v>
      </c>
    </row>
    <row r="343" spans="1:14">
      <c r="A343" s="159" t="s">
        <v>132</v>
      </c>
      <c r="B343" s="344" t="s">
        <v>133</v>
      </c>
      <c r="C343" s="344"/>
      <c r="D343" s="344" t="s">
        <v>134</v>
      </c>
      <c r="E343" s="344"/>
      <c r="F343" s="344" t="s">
        <v>135</v>
      </c>
      <c r="G343" s="344"/>
      <c r="H343" s="344" t="s">
        <v>117</v>
      </c>
      <c r="I343" s="344"/>
      <c r="J343" s="159"/>
      <c r="K343" s="273" t="s">
        <v>136</v>
      </c>
      <c r="L343" s="273" t="s">
        <v>137</v>
      </c>
      <c r="M343" s="273" t="s">
        <v>138</v>
      </c>
      <c r="N343" s="273" t="s">
        <v>117</v>
      </c>
    </row>
    <row r="344" spans="1:14">
      <c r="A344" s="268">
        <f>$A$8</f>
        <v>2020</v>
      </c>
      <c r="B344" s="263" t="s">
        <v>139</v>
      </c>
      <c r="C344" s="19" t="s">
        <v>140</v>
      </c>
      <c r="D344" s="263" t="s">
        <v>139</v>
      </c>
      <c r="E344" s="19" t="s">
        <v>140</v>
      </c>
      <c r="F344" s="263" t="s">
        <v>139</v>
      </c>
      <c r="G344" s="19" t="s">
        <v>140</v>
      </c>
      <c r="H344" s="263" t="s">
        <v>139</v>
      </c>
      <c r="I344" s="19" t="s">
        <v>140</v>
      </c>
      <c r="J344" s="159"/>
      <c r="K344" s="262" t="str">
        <f>CONCATENATE(A344," - ",A349)</f>
        <v>2020 - 2025</v>
      </c>
      <c r="L344" s="261"/>
      <c r="M344" s="261"/>
    </row>
    <row r="345" spans="1:14">
      <c r="A345" s="258" t="s">
        <v>141</v>
      </c>
      <c r="B345" s="278">
        <f>'Ind T6'!L144</f>
        <v>9.372899094009842</v>
      </c>
      <c r="C345" s="275" t="str">
        <f>CONCATENATE("(",ROUND((B345/$H347)*100,1),")")</f>
        <v>(37.9)</v>
      </c>
      <c r="D345" s="278">
        <f>'Ind T6'!M144</f>
        <v>1.4432434329240442</v>
      </c>
      <c r="E345" s="275" t="str">
        <f>CONCATENATE("(",ROUND((D345/$H347)*100,1),")")</f>
        <v>(5.8)</v>
      </c>
      <c r="F345" s="278">
        <f>'Ind T6'!N144</f>
        <v>4.2525083616064165</v>
      </c>
      <c r="G345" s="275" t="str">
        <f>CONCATENATE("(",ROUND((F345/$H347)*100,1),")")</f>
        <v>(17.2)</v>
      </c>
      <c r="H345" s="278">
        <f>SUM(B345,D345,F345)</f>
        <v>15.068650888540303</v>
      </c>
      <c r="I345" s="275" t="str">
        <f>CONCATENATE("(",ROUND((H345/$H347)*100,1),")")</f>
        <v>(60.9)</v>
      </c>
      <c r="K345" s="278">
        <f>B350-B345</f>
        <v>0.16826382963606434</v>
      </c>
      <c r="L345" s="278">
        <f>D350-D345</f>
        <v>8.670313125627227E-2</v>
      </c>
      <c r="M345" s="278">
        <f>F350-F345</f>
        <v>0.13811834030947079</v>
      </c>
      <c r="N345" s="278">
        <f>SUM(K345:M345)</f>
        <v>0.3930853012018074</v>
      </c>
    </row>
    <row r="346" spans="1:14">
      <c r="A346" s="258" t="s">
        <v>142</v>
      </c>
      <c r="B346" s="278">
        <f>'Ind T6'!L143</f>
        <v>4.9721707152368158</v>
      </c>
      <c r="C346" s="275" t="str">
        <f>CONCATENATE("(",ROUND((B346/$H347)*100,1),")")</f>
        <v>(20.1)</v>
      </c>
      <c r="D346" s="278">
        <f>'Ind T6'!M143</f>
        <v>3.5674229943904225</v>
      </c>
      <c r="E346" s="275" t="str">
        <f>CONCATENATE("(",ROUND((D346/$H347)*100,1),")")</f>
        <v>(14.4)</v>
      </c>
      <c r="F346" s="278">
        <f>'Ind T6'!N143</f>
        <v>1.1207554018324237</v>
      </c>
      <c r="G346" s="275" t="str">
        <f>CONCATENATE("(",ROUND((F346/$H347)*100,1),")")</f>
        <v>(4.5)</v>
      </c>
      <c r="H346" s="278">
        <f t="shared" ref="H346" si="260">SUM(B346,D346,F346)</f>
        <v>9.6603491114596629</v>
      </c>
      <c r="I346" s="275" t="str">
        <f>CONCATENATE("(",ROUND((H346/$H347)*100,1),")")</f>
        <v>(39.1)</v>
      </c>
      <c r="K346" s="278">
        <f t="shared" ref="K346:K347" si="261">B351-B346</f>
        <v>0.19965632328058458</v>
      </c>
      <c r="L346" s="278">
        <f t="shared" ref="L346:L347" si="262">D351-D346</f>
        <v>0.16871249980390557</v>
      </c>
      <c r="M346" s="278">
        <f t="shared" ref="M346:M347" si="263">F351-F346</f>
        <v>6.5545875713736379E-2</v>
      </c>
      <c r="N346" s="278">
        <f t="shared" ref="N346:N347" si="264">SUM(K346:M346)</f>
        <v>0.43391469879822653</v>
      </c>
    </row>
    <row r="347" spans="1:14">
      <c r="A347" s="258" t="s">
        <v>143</v>
      </c>
      <c r="B347" s="278">
        <f>SUM(B345:B346)</f>
        <v>14.345069809246658</v>
      </c>
      <c r="C347" s="275" t="str">
        <f>CONCATENATE("(",ROUND((B347/$H347)*100,1),")")</f>
        <v>(58)</v>
      </c>
      <c r="D347" s="278">
        <f>SUM(D345:D346)</f>
        <v>5.010666427314467</v>
      </c>
      <c r="E347" s="275" t="str">
        <f>CONCATENATE("(",ROUND((D347/$H347)*100,1),")")</f>
        <v>(20.3)</v>
      </c>
      <c r="F347" s="278">
        <f>SUM(F345:F346)</f>
        <v>5.3732637634388407</v>
      </c>
      <c r="G347" s="275" t="str">
        <f>CONCATENATE("(",ROUND((F347/$H347)*100,1),")")</f>
        <v>(21.7)</v>
      </c>
      <c r="H347" s="278">
        <f>SUM(H345:H346)</f>
        <v>24.728999999999964</v>
      </c>
      <c r="I347" s="275" t="str">
        <f>CONCATENATE("(",ROUND((H347/$H347)*100,1),")")</f>
        <v>(100)</v>
      </c>
      <c r="K347" s="278">
        <f t="shared" si="261"/>
        <v>0.36792015291664804</v>
      </c>
      <c r="L347" s="278">
        <f t="shared" si="262"/>
        <v>0.25541563106017762</v>
      </c>
      <c r="M347" s="278">
        <f t="shared" si="263"/>
        <v>0.20366421602320628</v>
      </c>
      <c r="N347" s="278">
        <f t="shared" si="264"/>
        <v>0.82700000000003193</v>
      </c>
    </row>
    <row r="348" spans="1:14">
      <c r="B348" s="278"/>
      <c r="C348" s="260"/>
      <c r="D348" s="278"/>
      <c r="E348" s="260"/>
      <c r="F348" s="278"/>
      <c r="G348" s="260"/>
      <c r="H348" s="278"/>
      <c r="I348" s="260"/>
    </row>
    <row r="349" spans="1:14">
      <c r="A349" s="268">
        <f>$A$13</f>
        <v>2025</v>
      </c>
      <c r="B349" s="278"/>
      <c r="C349" s="260"/>
      <c r="D349" s="278"/>
      <c r="E349" s="260"/>
      <c r="F349" s="278"/>
      <c r="G349" s="260"/>
      <c r="H349" s="278"/>
      <c r="I349" s="260"/>
      <c r="K349" s="262" t="str">
        <f>CONCATENATE(A349," - ",A354)</f>
        <v>2025 - 2035</v>
      </c>
    </row>
    <row r="350" spans="1:14">
      <c r="A350" s="258" t="s">
        <v>141</v>
      </c>
      <c r="B350" s="278">
        <f>'Ind T6'!Q144</f>
        <v>9.5411629236459063</v>
      </c>
      <c r="C350" s="275" t="str">
        <f>CONCATENATE("(",ROUND((B350/$H352)*100,1),")")</f>
        <v>(37.3)</v>
      </c>
      <c r="D350" s="278">
        <f>'Ind T6'!R144</f>
        <v>1.5299465641803165</v>
      </c>
      <c r="E350" s="275" t="str">
        <f>CONCATENATE("(",ROUND((D350/$H352)*100,1),")")</f>
        <v>(6)</v>
      </c>
      <c r="F350" s="278">
        <f>'Ind T6'!S144</f>
        <v>4.3906267019158873</v>
      </c>
      <c r="G350" s="275" t="str">
        <f>CONCATENATE("(",ROUND((F350/$H352)*100,1),")")</f>
        <v>(17.2)</v>
      </c>
      <c r="H350" s="278">
        <f>SUM(B350,D350,F350)</f>
        <v>15.461736189742112</v>
      </c>
      <c r="I350" s="275" t="str">
        <f>CONCATENATE("(",ROUND((H350/$H352)*100,1),")")</f>
        <v>(60.5)</v>
      </c>
      <c r="K350" s="278">
        <f>B355-B350</f>
        <v>0.27424638195989637</v>
      </c>
      <c r="L350" s="278">
        <f>D355-D350</f>
        <v>0.14932617273258719</v>
      </c>
      <c r="M350" s="278">
        <f>F355-F350</f>
        <v>0.24155346827173307</v>
      </c>
      <c r="N350" s="278">
        <f>SUM(K350:M350)</f>
        <v>0.66512602296421663</v>
      </c>
    </row>
    <row r="351" spans="1:14">
      <c r="A351" s="258" t="s">
        <v>142</v>
      </c>
      <c r="B351" s="278">
        <f>'Ind T6'!Q143</f>
        <v>5.1718270385174003</v>
      </c>
      <c r="C351" s="275" t="str">
        <f>CONCATENATE("(",ROUND((B351/$H352)*100,1),")")</f>
        <v>(20.2)</v>
      </c>
      <c r="D351" s="278">
        <f>'Ind T6'!R143</f>
        <v>3.7361354941943281</v>
      </c>
      <c r="E351" s="275" t="str">
        <f>CONCATENATE("(",ROUND((D351/$H352)*100,1),")")</f>
        <v>(14.6)</v>
      </c>
      <c r="F351" s="278">
        <f>'Ind T6'!S143</f>
        <v>1.1863012775461601</v>
      </c>
      <c r="G351" s="275" t="str">
        <f>CONCATENATE("(",ROUND((F351/$H352)*100,1),")")</f>
        <v>(4.6)</v>
      </c>
      <c r="H351" s="278">
        <f t="shared" ref="H351" si="265">SUM(B351,D351,F351)</f>
        <v>10.094263810257889</v>
      </c>
      <c r="I351" s="275" t="str">
        <f>CONCATENATE("(",ROUND((H351/$H352)*100,1),")")</f>
        <v>(39.5)</v>
      </c>
      <c r="K351" s="278">
        <f t="shared" ref="K351:K352" si="266">B356-B351</f>
        <v>0.30829705876180924</v>
      </c>
      <c r="L351" s="278">
        <f t="shared" ref="L351:L352" si="267">D356-D351</f>
        <v>0.24645087528558784</v>
      </c>
      <c r="M351" s="278">
        <f t="shared" ref="M351:M352" si="268">F356-F351</f>
        <v>0.11712604298843687</v>
      </c>
      <c r="N351" s="278">
        <f t="shared" ref="N351:N352" si="269">SUM(K351:M351)</f>
        <v>0.67187397703583396</v>
      </c>
    </row>
    <row r="352" spans="1:14">
      <c r="A352" s="258" t="s">
        <v>143</v>
      </c>
      <c r="B352" s="278">
        <f>SUM(B350:B351)</f>
        <v>14.712989962163306</v>
      </c>
      <c r="C352" s="275" t="str">
        <f>CONCATENATE("(",ROUND((B352/$H352)*100,1),")")</f>
        <v>(57.6)</v>
      </c>
      <c r="D352" s="278">
        <f>SUM(D350:D351)</f>
        <v>5.2660820583746446</v>
      </c>
      <c r="E352" s="275" t="str">
        <f>CONCATENATE("(",ROUND((D352/$H352)*100,1),")")</f>
        <v>(20.6)</v>
      </c>
      <c r="F352" s="278">
        <f>SUM(F350:F351)</f>
        <v>5.576927979462047</v>
      </c>
      <c r="G352" s="275" t="str">
        <f>CONCATENATE("(",ROUND((F352/$H352)*100,1),")")</f>
        <v>(21.8)</v>
      </c>
      <c r="H352" s="278">
        <f>SUM(H350:H351)</f>
        <v>25.556000000000001</v>
      </c>
      <c r="I352" s="275" t="str">
        <f>CONCATENATE("(",ROUND((H352/$H352)*100,1),")")</f>
        <v>(100)</v>
      </c>
      <c r="K352" s="278">
        <f t="shared" si="266"/>
        <v>0.58254344072170738</v>
      </c>
      <c r="L352" s="278">
        <f t="shared" si="267"/>
        <v>0.39577704801817504</v>
      </c>
      <c r="M352" s="278">
        <f t="shared" si="268"/>
        <v>0.35867951126017061</v>
      </c>
      <c r="N352" s="278">
        <f t="shared" si="269"/>
        <v>1.337000000000053</v>
      </c>
    </row>
    <row r="353" spans="1:14">
      <c r="B353" s="278"/>
      <c r="C353" s="260"/>
      <c r="D353" s="278"/>
      <c r="E353" s="260"/>
      <c r="F353" s="278"/>
      <c r="G353" s="260"/>
      <c r="H353" s="278"/>
      <c r="I353" s="260"/>
    </row>
    <row r="354" spans="1:14">
      <c r="A354" s="268">
        <f>$A$18</f>
        <v>2035</v>
      </c>
      <c r="B354" s="278"/>
      <c r="C354" s="260"/>
      <c r="D354" s="278"/>
      <c r="E354" s="260"/>
      <c r="F354" s="278"/>
      <c r="G354" s="260"/>
      <c r="H354" s="278"/>
      <c r="I354" s="260"/>
      <c r="K354" s="262" t="str">
        <f>CONCATENATE(A344," - ",A354)</f>
        <v>2020 - 2035</v>
      </c>
    </row>
    <row r="355" spans="1:14">
      <c r="A355" s="258" t="s">
        <v>141</v>
      </c>
      <c r="B355" s="278">
        <f>'Ind T6'!V144</f>
        <v>9.8154093056058027</v>
      </c>
      <c r="C355" s="275" t="str">
        <f>CONCATENATE("(",ROUND((B355/$H357)*100,1),")")</f>
        <v>(36.5)</v>
      </c>
      <c r="D355" s="278">
        <f>'Ind T6'!W144</f>
        <v>1.6792727369129037</v>
      </c>
      <c r="E355" s="275" t="str">
        <f>CONCATENATE("(",ROUND((D355/$H357)*100,1),")")</f>
        <v>(6.2)</v>
      </c>
      <c r="F355" s="278">
        <f>'Ind T6'!X144</f>
        <v>4.6321801701876204</v>
      </c>
      <c r="G355" s="275" t="str">
        <f>CONCATENATE("(",ROUND((F355/$H357)*100,1),")")</f>
        <v>(17.2)</v>
      </c>
      <c r="H355" s="278">
        <f>SUM(B355,D355,F355)</f>
        <v>16.126862212706328</v>
      </c>
      <c r="I355" s="275" t="str">
        <f>CONCATENATE("(",ROUND((H355/$H357)*100,1),")")</f>
        <v>(60)</v>
      </c>
      <c r="K355" s="278">
        <f>B355-B345</f>
        <v>0.44251021159596071</v>
      </c>
      <c r="L355" s="278">
        <f>D355-D345</f>
        <v>0.23602930398885946</v>
      </c>
      <c r="M355" s="278">
        <f>F355-F345</f>
        <v>0.37967180858120386</v>
      </c>
      <c r="N355" s="278">
        <f>SUM(K355:M355)</f>
        <v>1.058211324166024</v>
      </c>
    </row>
    <row r="356" spans="1:14">
      <c r="A356" s="258" t="s">
        <v>142</v>
      </c>
      <c r="B356" s="278">
        <f>'Ind T6'!V143</f>
        <v>5.4801240972792096</v>
      </c>
      <c r="C356" s="275" t="str">
        <f>CONCATENATE("(",ROUND((B356/$H357)*100,1),")")</f>
        <v>(20.4)</v>
      </c>
      <c r="D356" s="278">
        <f>'Ind T6'!W143</f>
        <v>3.982586369479916</v>
      </c>
      <c r="E356" s="275" t="str">
        <f>CONCATENATE("(",ROUND((D356/$H357)*100,1),")")</f>
        <v>(14.8)</v>
      </c>
      <c r="F356" s="278">
        <f>'Ind T6'!X143</f>
        <v>1.303427320534597</v>
      </c>
      <c r="G356" s="275" t="str">
        <f>CONCATENATE("(",ROUND((F356/$H357)*100,1),")")</f>
        <v>(4.8)</v>
      </c>
      <c r="H356" s="278">
        <f t="shared" ref="H356" si="270">SUM(B356,D356,F356)</f>
        <v>10.766137787293722</v>
      </c>
      <c r="I356" s="275" t="str">
        <f>CONCATENATE("(",ROUND((H356/$H357)*100,1),")")</f>
        <v>(40)</v>
      </c>
      <c r="K356" s="278">
        <f t="shared" ref="K356:K357" si="271">B356-B346</f>
        <v>0.50795338204239382</v>
      </c>
      <c r="L356" s="278">
        <f t="shared" ref="L356:L357" si="272">D356-D346</f>
        <v>0.41516337508949341</v>
      </c>
      <c r="M356" s="278">
        <f t="shared" ref="M356:M357" si="273">F356-F346</f>
        <v>0.18267191870217325</v>
      </c>
      <c r="N356" s="278">
        <f t="shared" ref="N356:N357" si="274">SUM(K356:M356)</f>
        <v>1.1057886758340605</v>
      </c>
    </row>
    <row r="357" spans="1:14">
      <c r="A357" s="258" t="s">
        <v>143</v>
      </c>
      <c r="B357" s="278">
        <f>SUM(B355:B356)</f>
        <v>15.295533402885013</v>
      </c>
      <c r="C357" s="275" t="str">
        <f>CONCATENATE("(",ROUND((B357/$H357)*100,1),")")</f>
        <v>(56.9)</v>
      </c>
      <c r="D357" s="278">
        <f>SUM(D355:D356)</f>
        <v>5.6618591063928196</v>
      </c>
      <c r="E357" s="275" t="str">
        <f>CONCATENATE("(",ROUND((D357/$H357)*100,1),")")</f>
        <v>(21.1)</v>
      </c>
      <c r="F357" s="278">
        <f>SUM(F355:F356)</f>
        <v>5.9356074907222176</v>
      </c>
      <c r="G357" s="275" t="str">
        <f>CONCATENATE("(",ROUND((F357/$H357)*100,1),")")</f>
        <v>(22.1)</v>
      </c>
      <c r="H357" s="278">
        <f>SUM(H355:H356)</f>
        <v>26.89300000000005</v>
      </c>
      <c r="I357" s="275" t="str">
        <f>CONCATENATE("(",ROUND((H357/$H357)*100,1),")")</f>
        <v>(100)</v>
      </c>
      <c r="K357" s="278">
        <f t="shared" si="271"/>
        <v>0.95046359363835542</v>
      </c>
      <c r="L357" s="278">
        <f t="shared" si="272"/>
        <v>0.65119267907835265</v>
      </c>
      <c r="M357" s="278">
        <f t="shared" si="273"/>
        <v>0.56234372728337689</v>
      </c>
      <c r="N357" s="278">
        <f t="shared" si="274"/>
        <v>2.164000000000085</v>
      </c>
    </row>
    <row r="358" spans="1:14">
      <c r="A358" s="269"/>
      <c r="B358" s="270"/>
      <c r="C358" s="269"/>
      <c r="D358" s="270"/>
      <c r="E358" s="269"/>
      <c r="F358" s="270"/>
      <c r="G358" s="269"/>
      <c r="H358" s="270"/>
      <c r="I358" s="269"/>
      <c r="J358" s="269"/>
      <c r="K358" s="270"/>
      <c r="L358" s="270"/>
      <c r="M358" s="270"/>
      <c r="N358" s="270"/>
    </row>
    <row r="361" spans="1:14">
      <c r="C361" s="159"/>
      <c r="E361" s="159"/>
      <c r="G361" s="159"/>
      <c r="I361" s="159"/>
    </row>
    <row r="362" spans="1:14">
      <c r="A362" s="264"/>
      <c r="B362" s="265" t="s">
        <v>130</v>
      </c>
      <c r="C362" s="264"/>
      <c r="D362" s="265"/>
      <c r="E362" s="264"/>
      <c r="F362" s="265" t="str">
        <f>name!B20</f>
        <v>Support services</v>
      </c>
      <c r="G362" s="264"/>
      <c r="H362" s="267"/>
      <c r="I362" s="264"/>
      <c r="J362" s="266"/>
      <c r="K362" s="267"/>
      <c r="L362" s="267"/>
      <c r="M362" s="267"/>
      <c r="N362" s="267"/>
    </row>
    <row r="363" spans="1:14">
      <c r="N363" s="263" t="s">
        <v>131</v>
      </c>
    </row>
    <row r="364" spans="1:14">
      <c r="A364" s="159" t="s">
        <v>132</v>
      </c>
      <c r="B364" s="344" t="s">
        <v>133</v>
      </c>
      <c r="C364" s="344"/>
      <c r="D364" s="344" t="s">
        <v>134</v>
      </c>
      <c r="E364" s="344"/>
      <c r="F364" s="344" t="s">
        <v>135</v>
      </c>
      <c r="G364" s="344"/>
      <c r="H364" s="344" t="s">
        <v>117</v>
      </c>
      <c r="I364" s="344"/>
      <c r="J364" s="159"/>
      <c r="K364" s="273" t="s">
        <v>136</v>
      </c>
      <c r="L364" s="273" t="s">
        <v>137</v>
      </c>
      <c r="M364" s="273" t="s">
        <v>138</v>
      </c>
      <c r="N364" s="273" t="s">
        <v>117</v>
      </c>
    </row>
    <row r="365" spans="1:14">
      <c r="A365" s="268">
        <f>$A$8</f>
        <v>2020</v>
      </c>
      <c r="B365" s="263" t="s">
        <v>139</v>
      </c>
      <c r="C365" s="19" t="s">
        <v>140</v>
      </c>
      <c r="D365" s="263" t="s">
        <v>139</v>
      </c>
      <c r="E365" s="19" t="s">
        <v>140</v>
      </c>
      <c r="F365" s="263" t="s">
        <v>139</v>
      </c>
      <c r="G365" s="19" t="s">
        <v>140</v>
      </c>
      <c r="H365" s="263" t="s">
        <v>139</v>
      </c>
      <c r="I365" s="19" t="s">
        <v>140</v>
      </c>
      <c r="J365" s="159"/>
      <c r="K365" s="262" t="str">
        <f>CONCATENATE(A365," - ",A370)</f>
        <v>2020 - 2025</v>
      </c>
      <c r="L365" s="261"/>
      <c r="M365" s="261"/>
    </row>
    <row r="366" spans="1:14">
      <c r="A366" s="258" t="s">
        <v>141</v>
      </c>
      <c r="B366" s="278">
        <f>'Ind T6'!L153</f>
        <v>12.581782399296857</v>
      </c>
      <c r="C366" s="275" t="str">
        <f>CONCATENATE("(",ROUND((B366/$H368)*100,1),")")</f>
        <v>(39.1)</v>
      </c>
      <c r="D366" s="278">
        <f>'Ind T6'!M153</f>
        <v>4.4323517995482824</v>
      </c>
      <c r="E366" s="275" t="str">
        <f>CONCATENATE("(",ROUND((D366/$H368)*100,1),")")</f>
        <v>(13.8)</v>
      </c>
      <c r="F366" s="278">
        <f>'Ind T6'!N153</f>
        <v>1.2129583032019806</v>
      </c>
      <c r="G366" s="275" t="str">
        <f>CONCATENATE("(",ROUND((F366/$H368)*100,1),")")</f>
        <v>(3.8)</v>
      </c>
      <c r="H366" s="278">
        <f>SUM(B366,D366,F366)</f>
        <v>18.227092502047121</v>
      </c>
      <c r="I366" s="275" t="str">
        <f>CONCATENATE("(",ROUND((H366/$H368)*100,1),")")</f>
        <v>(56.7)</v>
      </c>
      <c r="K366" s="278">
        <f>B371-B366</f>
        <v>0.68034042552097418</v>
      </c>
      <c r="L366" s="278">
        <f>D371-D366</f>
        <v>0.23016660633294528</v>
      </c>
      <c r="M366" s="278">
        <f>F371-F366</f>
        <v>4.564851300360373E-2</v>
      </c>
      <c r="N366" s="278">
        <f>SUM(K366:M366)</f>
        <v>0.95615554485752319</v>
      </c>
    </row>
    <row r="367" spans="1:14">
      <c r="A367" s="258" t="s">
        <v>142</v>
      </c>
      <c r="B367" s="278">
        <f>'Ind T6'!L152</f>
        <v>6.4415799888387504</v>
      </c>
      <c r="C367" s="275" t="str">
        <f>CONCATENATE("(",ROUND((B367/$H368)*100,1),")")</f>
        <v>(20)</v>
      </c>
      <c r="D367" s="278">
        <f>'Ind T6'!M152</f>
        <v>6.0683825109222838</v>
      </c>
      <c r="E367" s="275" t="str">
        <f>CONCATENATE("(",ROUND((D367/$H368)*100,1),")")</f>
        <v>(18.9)</v>
      </c>
      <c r="F367" s="278">
        <f>'Ind T6'!N152</f>
        <v>1.4309449981918625</v>
      </c>
      <c r="G367" s="275" t="str">
        <f>CONCATENATE("(",ROUND((F367/$H368)*100,1),")")</f>
        <v>(4.4)</v>
      </c>
      <c r="H367" s="278">
        <f t="shared" ref="H367" si="275">SUM(B367,D367,F367)</f>
        <v>13.940907497952896</v>
      </c>
      <c r="I367" s="275" t="str">
        <f>CONCATENATE("(",ROUND((H367/$H368)*100,1),")")</f>
        <v>(43.3)</v>
      </c>
      <c r="K367" s="278">
        <f t="shared" ref="K367:K368" si="276">B372-B367</f>
        <v>0.47064557154286302</v>
      </c>
      <c r="L367" s="278">
        <f t="shared" ref="L367:L368" si="277">D372-D367</f>
        <v>0.20797345381098342</v>
      </c>
      <c r="M367" s="278">
        <f t="shared" ref="M367:M368" si="278">F372-F367</f>
        <v>5.2225429788655964E-2</v>
      </c>
      <c r="N367" s="278">
        <f t="shared" ref="N367:N368" si="279">SUM(K367:M367)</f>
        <v>0.7308444551425024</v>
      </c>
    </row>
    <row r="368" spans="1:14">
      <c r="A368" s="258" t="s">
        <v>143</v>
      </c>
      <c r="B368" s="278">
        <f>SUM(B366:B367)</f>
        <v>19.02336238813561</v>
      </c>
      <c r="C368" s="275" t="str">
        <f>CONCATENATE("(",ROUND((B368/$H368)*100,1),")")</f>
        <v>(59.1)</v>
      </c>
      <c r="D368" s="278">
        <f>SUM(D366:D367)</f>
        <v>10.500734310470566</v>
      </c>
      <c r="E368" s="275" t="str">
        <f>CONCATENATE("(",ROUND((D368/$H368)*100,1),")")</f>
        <v>(32.6)</v>
      </c>
      <c r="F368" s="278">
        <f>SUM(F366:F367)</f>
        <v>2.6439033013938431</v>
      </c>
      <c r="G368" s="275" t="str">
        <f>CONCATENATE("(",ROUND((F368/$H368)*100,1),")")</f>
        <v>(8.2)</v>
      </c>
      <c r="H368" s="278">
        <f>SUM(H366:H367)</f>
        <v>32.168000000000021</v>
      </c>
      <c r="I368" s="275" t="str">
        <f>CONCATENATE("(",ROUND((H368/$H368)*100,1),")")</f>
        <v>(100)</v>
      </c>
      <c r="K368" s="278">
        <f t="shared" si="276"/>
        <v>1.1509859970638345</v>
      </c>
      <c r="L368" s="278">
        <f t="shared" si="277"/>
        <v>0.43814006014392959</v>
      </c>
      <c r="M368" s="278">
        <f t="shared" si="278"/>
        <v>9.7873942792259694E-2</v>
      </c>
      <c r="N368" s="278">
        <f t="shared" si="279"/>
        <v>1.6870000000000238</v>
      </c>
    </row>
    <row r="369" spans="1:14">
      <c r="B369" s="278"/>
      <c r="C369" s="260"/>
      <c r="D369" s="278"/>
      <c r="E369" s="260"/>
      <c r="F369" s="278"/>
      <c r="G369" s="260"/>
      <c r="H369" s="278"/>
      <c r="I369" s="260"/>
    </row>
    <row r="370" spans="1:14">
      <c r="A370" s="268">
        <f>$A$13</f>
        <v>2025</v>
      </c>
      <c r="B370" s="278"/>
      <c r="C370" s="260"/>
      <c r="D370" s="278"/>
      <c r="E370" s="260"/>
      <c r="F370" s="278"/>
      <c r="G370" s="260"/>
      <c r="H370" s="278"/>
      <c r="I370" s="260"/>
      <c r="K370" s="262" t="str">
        <f>CONCATENATE(A370," - ",A375)</f>
        <v>2025 - 2035</v>
      </c>
    </row>
    <row r="371" spans="1:14">
      <c r="A371" s="258" t="s">
        <v>141</v>
      </c>
      <c r="B371" s="278">
        <f>'Ind T6'!Q153</f>
        <v>13.262122824817832</v>
      </c>
      <c r="C371" s="275" t="str">
        <f>CONCATENATE("(",ROUND((B371/$H373)*100,1),")")</f>
        <v>(39.2)</v>
      </c>
      <c r="D371" s="278">
        <f>'Ind T6'!R153</f>
        <v>4.6625184058812277</v>
      </c>
      <c r="E371" s="275" t="str">
        <f>CONCATENATE("(",ROUND((D371/$H373)*100,1),")")</f>
        <v>(13.8)</v>
      </c>
      <c r="F371" s="278">
        <f>'Ind T6'!S153</f>
        <v>1.2586068162055843</v>
      </c>
      <c r="G371" s="275" t="str">
        <f>CONCATENATE("(",ROUND((F371/$H373)*100,1),")")</f>
        <v>(3.7)</v>
      </c>
      <c r="H371" s="278">
        <f>SUM(B371,D371,F371)</f>
        <v>19.183248046904644</v>
      </c>
      <c r="I371" s="275" t="str">
        <f>CONCATENATE("(",ROUND((H371/$H373)*100,1),")")</f>
        <v>(56.7)</v>
      </c>
      <c r="K371" s="278">
        <f>B376-B371</f>
        <v>0.75166323260710044</v>
      </c>
      <c r="L371" s="278">
        <f>D376-D371</f>
        <v>0.21913779187430915</v>
      </c>
      <c r="M371" s="278">
        <f>F376-F371</f>
        <v>7.5247216373542036E-2</v>
      </c>
      <c r="N371" s="278">
        <f>SUM(K371:M371)</f>
        <v>1.0460482408549516</v>
      </c>
    </row>
    <row r="372" spans="1:14">
      <c r="A372" s="258" t="s">
        <v>142</v>
      </c>
      <c r="B372" s="278">
        <f>'Ind T6'!Q152</f>
        <v>6.9122255603816134</v>
      </c>
      <c r="C372" s="275" t="str">
        <f>CONCATENATE("(",ROUND((B372/$H373)*100,1),")")</f>
        <v>(20.4)</v>
      </c>
      <c r="D372" s="278">
        <f>'Ind T6'!R152</f>
        <v>6.2763559647332672</v>
      </c>
      <c r="E372" s="275" t="str">
        <f>CONCATENATE("(",ROUND((D372/$H373)*100,1),")")</f>
        <v>(18.5)</v>
      </c>
      <c r="F372" s="278">
        <f>'Ind T6'!S152</f>
        <v>1.4831704279805185</v>
      </c>
      <c r="G372" s="275" t="str">
        <f>CONCATENATE("(",ROUND((F372/$H373)*100,1),")")</f>
        <v>(4.4)</v>
      </c>
      <c r="H372" s="278">
        <f t="shared" ref="H372" si="280">SUM(B372,D372,F372)</f>
        <v>14.671751953095399</v>
      </c>
      <c r="I372" s="275" t="str">
        <f>CONCATENATE("(",ROUND((H372/$H373)*100,1),")")</f>
        <v>(43.3)</v>
      </c>
      <c r="K372" s="278">
        <f t="shared" ref="K372:K373" si="281">B377-B372</f>
        <v>0.55473142750364612</v>
      </c>
      <c r="L372" s="278">
        <f t="shared" ref="L372:L373" si="282">D377-D372</f>
        <v>0.12905494204136403</v>
      </c>
      <c r="M372" s="278">
        <f t="shared" ref="M372:M373" si="283">F377-F372</f>
        <v>9.8165389599984998E-2</v>
      </c>
      <c r="N372" s="278">
        <f t="shared" ref="N372:N373" si="284">SUM(K372:M372)</f>
        <v>0.78195175914499515</v>
      </c>
    </row>
    <row r="373" spans="1:14">
      <c r="A373" s="258" t="s">
        <v>143</v>
      </c>
      <c r="B373" s="278">
        <f>SUM(B371:B372)</f>
        <v>20.174348385199444</v>
      </c>
      <c r="C373" s="275" t="str">
        <f>CONCATENATE("(",ROUND((B373/$H373)*100,1),")")</f>
        <v>(59.6)</v>
      </c>
      <c r="D373" s="278">
        <f>SUM(D371:D372)</f>
        <v>10.938874370614496</v>
      </c>
      <c r="E373" s="275" t="str">
        <f>CONCATENATE("(",ROUND((D373/$H373)*100,1),")")</f>
        <v>(32.3)</v>
      </c>
      <c r="F373" s="278">
        <f>SUM(F371:F372)</f>
        <v>2.7417772441861028</v>
      </c>
      <c r="G373" s="275" t="str">
        <f>CONCATENATE("(",ROUND((F373/$H373)*100,1),")")</f>
        <v>(8.1)</v>
      </c>
      <c r="H373" s="278">
        <f>SUM(H371:H372)</f>
        <v>33.855000000000047</v>
      </c>
      <c r="I373" s="275" t="str">
        <f>CONCATENATE("(",ROUND((H373/$H373)*100,1),")")</f>
        <v>(100)</v>
      </c>
      <c r="K373" s="278">
        <f t="shared" si="281"/>
        <v>1.3063946601107475</v>
      </c>
      <c r="L373" s="278">
        <f t="shared" si="282"/>
        <v>0.34819273391567229</v>
      </c>
      <c r="M373" s="278">
        <f t="shared" si="283"/>
        <v>0.17341260597352681</v>
      </c>
      <c r="N373" s="278">
        <f t="shared" si="284"/>
        <v>1.8279999999999466</v>
      </c>
    </row>
    <row r="374" spans="1:14">
      <c r="B374" s="278"/>
      <c r="C374" s="260"/>
      <c r="D374" s="278"/>
      <c r="E374" s="260"/>
      <c r="F374" s="278"/>
      <c r="G374" s="260"/>
      <c r="H374" s="278"/>
      <c r="I374" s="260"/>
    </row>
    <row r="375" spans="1:14">
      <c r="A375" s="268">
        <f>$A$18</f>
        <v>2035</v>
      </c>
      <c r="B375" s="278"/>
      <c r="C375" s="260"/>
      <c r="D375" s="278"/>
      <c r="E375" s="260"/>
      <c r="F375" s="278"/>
      <c r="G375" s="260"/>
      <c r="H375" s="278"/>
      <c r="I375" s="260"/>
      <c r="K375" s="262" t="str">
        <f>CONCATENATE(A365," - ",A375)</f>
        <v>2020 - 2035</v>
      </c>
    </row>
    <row r="376" spans="1:14">
      <c r="A376" s="258" t="s">
        <v>141</v>
      </c>
      <c r="B376" s="278">
        <f>'Ind T6'!V153</f>
        <v>14.013786057424932</v>
      </c>
      <c r="C376" s="275" t="str">
        <f>CONCATENATE("(",ROUND((B376/$H378)*100,1),")")</f>
        <v>(39.3)</v>
      </c>
      <c r="D376" s="278">
        <f>'Ind T6'!W153</f>
        <v>4.8816561977555368</v>
      </c>
      <c r="E376" s="275" t="str">
        <f>CONCATENATE("(",ROUND((D376/$H378)*100,1),")")</f>
        <v>(13.7)</v>
      </c>
      <c r="F376" s="278">
        <f>'Ind T6'!X153</f>
        <v>1.3338540325791264</v>
      </c>
      <c r="G376" s="275" t="str">
        <f>CONCATENATE("(",ROUND((F376/$H378)*100,1),")")</f>
        <v>(3.7)</v>
      </c>
      <c r="H376" s="278">
        <f>SUM(B376,D376,F376)</f>
        <v>20.229296287759595</v>
      </c>
      <c r="I376" s="275" t="str">
        <f>CONCATENATE("(",ROUND((H376/$H378)*100,1),")")</f>
        <v>(56.7)</v>
      </c>
      <c r="K376" s="278">
        <f>B376-B366</f>
        <v>1.4320036581280746</v>
      </c>
      <c r="L376" s="278">
        <f>D376-D366</f>
        <v>0.44930439820725443</v>
      </c>
      <c r="M376" s="278">
        <f>F376-F366</f>
        <v>0.12089572937714577</v>
      </c>
      <c r="N376" s="278">
        <f>SUM(K376:M376)</f>
        <v>2.0022037857124748</v>
      </c>
    </row>
    <row r="377" spans="1:14">
      <c r="A377" s="258" t="s">
        <v>142</v>
      </c>
      <c r="B377" s="278">
        <f>'Ind T6'!V152</f>
        <v>7.4669569878852595</v>
      </c>
      <c r="C377" s="275" t="str">
        <f>CONCATENATE("(",ROUND((B377/$H378)*100,1),")")</f>
        <v>(20.9)</v>
      </c>
      <c r="D377" s="278">
        <f>'Ind T6'!W152</f>
        <v>6.4054109067746312</v>
      </c>
      <c r="E377" s="275" t="str">
        <f>CONCATENATE("(",ROUND((D377/$H378)*100,1),")")</f>
        <v>(18)</v>
      </c>
      <c r="F377" s="278">
        <f>'Ind T6'!X152</f>
        <v>1.5813358175805035</v>
      </c>
      <c r="G377" s="275" t="str">
        <f>CONCATENATE("(",ROUND((F377/$H378)*100,1),")")</f>
        <v>(4.4)</v>
      </c>
      <c r="H377" s="278">
        <f t="shared" ref="H377" si="285">SUM(B377,D377,F377)</f>
        <v>15.453703712240396</v>
      </c>
      <c r="I377" s="275" t="str">
        <f>CONCATENATE("(",ROUND((H377/$H378)*100,1),")")</f>
        <v>(43.3)</v>
      </c>
      <c r="K377" s="278">
        <f t="shared" ref="K377:K378" si="286">B377-B367</f>
        <v>1.0253769990465091</v>
      </c>
      <c r="L377" s="278">
        <f t="shared" ref="L377:L378" si="287">D377-D367</f>
        <v>0.33702839585234745</v>
      </c>
      <c r="M377" s="278">
        <f t="shared" ref="M377:M378" si="288">F377-F367</f>
        <v>0.15039081938864096</v>
      </c>
      <c r="N377" s="278">
        <f t="shared" ref="N377:N378" si="289">SUM(K377:M377)</f>
        <v>1.5127962142874976</v>
      </c>
    </row>
    <row r="378" spans="1:14">
      <c r="A378" s="258" t="s">
        <v>143</v>
      </c>
      <c r="B378" s="278">
        <f>SUM(B376:B377)</f>
        <v>21.480743045310192</v>
      </c>
      <c r="C378" s="275" t="str">
        <f>CONCATENATE("(",ROUND((B378/$H378)*100,1),")")</f>
        <v>(60.2)</v>
      </c>
      <c r="D378" s="278">
        <f>SUM(D376:D377)</f>
        <v>11.287067104530168</v>
      </c>
      <c r="E378" s="275" t="str">
        <f>CONCATENATE("(",ROUND((D378/$H378)*100,1),")")</f>
        <v>(31.6)</v>
      </c>
      <c r="F378" s="278">
        <f>SUM(F376:F377)</f>
        <v>2.9151898501596296</v>
      </c>
      <c r="G378" s="275" t="str">
        <f>CONCATENATE("(",ROUND((F378/$H378)*100,1),")")</f>
        <v>(8.2)</v>
      </c>
      <c r="H378" s="278">
        <f>SUM(H376:H377)</f>
        <v>35.682999999999993</v>
      </c>
      <c r="I378" s="275" t="str">
        <f>CONCATENATE("(",ROUND((H378/$H378)*100,1),")")</f>
        <v>(100)</v>
      </c>
      <c r="K378" s="278">
        <f t="shared" si="286"/>
        <v>2.457380657174582</v>
      </c>
      <c r="L378" s="278">
        <f t="shared" si="287"/>
        <v>0.78633279405960188</v>
      </c>
      <c r="M378" s="278">
        <f t="shared" si="288"/>
        <v>0.27128654876578651</v>
      </c>
      <c r="N378" s="278">
        <f t="shared" si="289"/>
        <v>3.5149999999999704</v>
      </c>
    </row>
    <row r="379" spans="1:14">
      <c r="A379" s="269"/>
      <c r="B379" s="270"/>
      <c r="C379" s="269"/>
      <c r="D379" s="270"/>
      <c r="E379" s="269"/>
      <c r="F379" s="270"/>
      <c r="G379" s="269"/>
      <c r="H379" s="270"/>
      <c r="I379" s="269"/>
      <c r="J379" s="269"/>
      <c r="K379" s="270"/>
      <c r="L379" s="270"/>
      <c r="M379" s="270"/>
      <c r="N379" s="270"/>
    </row>
    <row r="383" spans="1:14">
      <c r="A383" s="264"/>
      <c r="B383" s="265" t="s">
        <v>130</v>
      </c>
      <c r="C383" s="264"/>
      <c r="D383" s="265"/>
      <c r="E383" s="264"/>
      <c r="F383" s="265" t="str">
        <f>name!B21</f>
        <v>Public admin. and defence</v>
      </c>
      <c r="G383" s="264"/>
      <c r="H383" s="267"/>
      <c r="I383" s="264"/>
      <c r="J383" s="266"/>
      <c r="K383" s="267"/>
      <c r="L383" s="267"/>
      <c r="M383" s="267"/>
      <c r="N383" s="267"/>
    </row>
    <row r="384" spans="1:14">
      <c r="N384" s="263" t="s">
        <v>131</v>
      </c>
    </row>
    <row r="385" spans="1:14">
      <c r="A385" s="159" t="s">
        <v>132</v>
      </c>
      <c r="B385" s="344" t="s">
        <v>133</v>
      </c>
      <c r="C385" s="344"/>
      <c r="D385" s="344" t="s">
        <v>134</v>
      </c>
      <c r="E385" s="344"/>
      <c r="F385" s="344" t="s">
        <v>135</v>
      </c>
      <c r="G385" s="344"/>
      <c r="H385" s="344" t="s">
        <v>117</v>
      </c>
      <c r="I385" s="344"/>
      <c r="J385" s="159"/>
      <c r="K385" s="273" t="s">
        <v>136</v>
      </c>
      <c r="L385" s="273" t="s">
        <v>137</v>
      </c>
      <c r="M385" s="273" t="s">
        <v>138</v>
      </c>
      <c r="N385" s="273" t="s">
        <v>117</v>
      </c>
    </row>
    <row r="386" spans="1:14">
      <c r="A386" s="268">
        <f>$A$8</f>
        <v>2020</v>
      </c>
      <c r="B386" s="263" t="s">
        <v>139</v>
      </c>
      <c r="C386" s="19" t="s">
        <v>140</v>
      </c>
      <c r="D386" s="263" t="s">
        <v>139</v>
      </c>
      <c r="E386" s="19" t="s">
        <v>140</v>
      </c>
      <c r="F386" s="263" t="s">
        <v>139</v>
      </c>
      <c r="G386" s="19" t="s">
        <v>140</v>
      </c>
      <c r="H386" s="263" t="s">
        <v>139</v>
      </c>
      <c r="I386" s="19" t="s">
        <v>140</v>
      </c>
      <c r="J386" s="159"/>
      <c r="K386" s="262" t="str">
        <f>CONCATENATE(A386," - ",A391)</f>
        <v>2020 - 2025</v>
      </c>
      <c r="L386" s="261"/>
      <c r="M386" s="261"/>
    </row>
    <row r="387" spans="1:14">
      <c r="A387" s="258" t="s">
        <v>141</v>
      </c>
      <c r="B387" s="278">
        <f>'Ind T6'!L162</f>
        <v>5.37831749659306</v>
      </c>
      <c r="C387" s="275" t="str">
        <f>CONCATENATE("(",ROUND((B387/$H389)*100,1),")")</f>
        <v>(35.2)</v>
      </c>
      <c r="D387" s="278">
        <f>'Ind T6'!M162</f>
        <v>0.75960737922340005</v>
      </c>
      <c r="E387" s="275" t="str">
        <f>CONCATENATE("(",ROUND((D387/$H389)*100,1),")")</f>
        <v>(5)</v>
      </c>
      <c r="F387" s="278">
        <f>'Ind T6'!N162</f>
        <v>0</v>
      </c>
      <c r="G387" s="275" t="str">
        <f>CONCATENATE("(",ROUND((F387/$H389)*100,1),")")</f>
        <v>(0)</v>
      </c>
      <c r="H387" s="278">
        <f>SUM(B387,D387,F387)</f>
        <v>6.1379248758164602</v>
      </c>
      <c r="I387" s="275" t="str">
        <f>CONCATENATE("(",ROUND((H387/$H389)*100,1),")")</f>
        <v>(40.2)</v>
      </c>
      <c r="K387" s="278">
        <f>B392-B387</f>
        <v>6.3145922555634115E-3</v>
      </c>
      <c r="L387" s="278">
        <f>D392-D387</f>
        <v>5.8389724564652856E-2</v>
      </c>
      <c r="M387" s="278">
        <f>F392-F387</f>
        <v>0</v>
      </c>
      <c r="N387" s="278">
        <f>SUM(K387:M387)</f>
        <v>6.4704316820216268E-2</v>
      </c>
    </row>
    <row r="388" spans="1:14">
      <c r="A388" s="258" t="s">
        <v>142</v>
      </c>
      <c r="B388" s="278">
        <f>'Ind T6'!L161</f>
        <v>4.732441209408921</v>
      </c>
      <c r="C388" s="275" t="str">
        <f>CONCATENATE("(",ROUND((B388/$H389)*100,1),")")</f>
        <v>(31)</v>
      </c>
      <c r="D388" s="278">
        <f>'Ind T6'!M161</f>
        <v>4.1334143778165151</v>
      </c>
      <c r="E388" s="275" t="str">
        <f>CONCATENATE("(",ROUND((D388/$H389)*100,1),")")</f>
        <v>(27)</v>
      </c>
      <c r="F388" s="278">
        <f>'Ind T6'!N161</f>
        <v>0.27721953695810336</v>
      </c>
      <c r="G388" s="275" t="str">
        <f>CONCATENATE("(",ROUND((F388/$H389)*100,1),")")</f>
        <v>(1.8)</v>
      </c>
      <c r="H388" s="278">
        <f t="shared" ref="H388" si="290">SUM(B388,D388,F388)</f>
        <v>9.1430751241835395</v>
      </c>
      <c r="I388" s="275" t="str">
        <f>CONCATENATE("(",ROUND((H388/$H389)*100,1),")")</f>
        <v>(59.8)</v>
      </c>
      <c r="K388" s="278">
        <f t="shared" ref="K388:K389" si="291">B393-B388</f>
        <v>0.10321124477229215</v>
      </c>
      <c r="L388" s="278">
        <f t="shared" ref="L388:L389" si="292">D393-D388</f>
        <v>9.8693577538261579E-2</v>
      </c>
      <c r="M388" s="278">
        <f t="shared" ref="M388:M389" si="293">F393-F388</f>
        <v>6.3908608692236912E-3</v>
      </c>
      <c r="N388" s="278">
        <f t="shared" ref="N388:N389" si="294">SUM(K388:M388)</f>
        <v>0.20829568317977742</v>
      </c>
    </row>
    <row r="389" spans="1:14">
      <c r="A389" s="258" t="s">
        <v>143</v>
      </c>
      <c r="B389" s="278">
        <f>SUM(B387:B388)</f>
        <v>10.110758706001981</v>
      </c>
      <c r="C389" s="275" t="str">
        <f>CONCATENATE("(",ROUND((B389/$H389)*100,1),")")</f>
        <v>(66.2)</v>
      </c>
      <c r="D389" s="278">
        <f>SUM(D387:D388)</f>
        <v>4.8930217570399153</v>
      </c>
      <c r="E389" s="275" t="str">
        <f>CONCATENATE("(",ROUND((D389/$H389)*100,1),")")</f>
        <v>(32)</v>
      </c>
      <c r="F389" s="278">
        <f>SUM(F387:F388)</f>
        <v>0.27721953695810336</v>
      </c>
      <c r="G389" s="275" t="str">
        <f>CONCATENATE("(",ROUND((F389/$H389)*100,1),")")</f>
        <v>(1.8)</v>
      </c>
      <c r="H389" s="278">
        <f>SUM(H387:H388)</f>
        <v>15.280999999999999</v>
      </c>
      <c r="I389" s="275" t="str">
        <f>CONCATENATE("(",ROUND((H389/$H389)*100,1),")")</f>
        <v>(100)</v>
      </c>
      <c r="K389" s="278">
        <f t="shared" si="291"/>
        <v>0.10952583702785645</v>
      </c>
      <c r="L389" s="278">
        <f t="shared" si="292"/>
        <v>0.15708330210291432</v>
      </c>
      <c r="M389" s="278">
        <f t="shared" si="293"/>
        <v>6.3908608692236912E-3</v>
      </c>
      <c r="N389" s="278">
        <f t="shared" si="294"/>
        <v>0.27299999999999447</v>
      </c>
    </row>
    <row r="390" spans="1:14">
      <c r="B390" s="278"/>
      <c r="C390" s="260"/>
      <c r="D390" s="278"/>
      <c r="E390" s="260"/>
      <c r="F390" s="278"/>
      <c r="G390" s="260"/>
      <c r="H390" s="278"/>
      <c r="I390" s="260"/>
    </row>
    <row r="391" spans="1:14">
      <c r="A391" s="268">
        <f>$A$13</f>
        <v>2025</v>
      </c>
      <c r="B391" s="278"/>
      <c r="C391" s="260"/>
      <c r="D391" s="278"/>
      <c r="E391" s="260"/>
      <c r="F391" s="278"/>
      <c r="G391" s="260"/>
      <c r="H391" s="278"/>
      <c r="I391" s="260"/>
      <c r="K391" s="262" t="str">
        <f>CONCATENATE(A391," - ",A396)</f>
        <v>2025 - 2035</v>
      </c>
    </row>
    <row r="392" spans="1:14">
      <c r="A392" s="258" t="s">
        <v>141</v>
      </c>
      <c r="B392" s="278">
        <f>'Ind T6'!Q162</f>
        <v>5.3846320888486234</v>
      </c>
      <c r="C392" s="275" t="str">
        <f>CONCATENATE("(",ROUND((B392/$H394)*100,1),")")</f>
        <v>(34.6)</v>
      </c>
      <c r="D392" s="278">
        <f>'Ind T6'!R162</f>
        <v>0.8179971037880529</v>
      </c>
      <c r="E392" s="275" t="str">
        <f>CONCATENATE("(",ROUND((D392/$H394)*100,1),")")</f>
        <v>(5.3)</v>
      </c>
      <c r="F392" s="278">
        <f>'Ind T6'!S162</f>
        <v>0</v>
      </c>
      <c r="G392" s="275" t="str">
        <f>CONCATENATE("(",ROUND((F392/$H394)*100,1),")")</f>
        <v>(0)</v>
      </c>
      <c r="H392" s="278">
        <f>SUM(B392,D392,F392)</f>
        <v>6.2026291926366763</v>
      </c>
      <c r="I392" s="275" t="str">
        <f>CONCATENATE("(",ROUND((H392/$H394)*100,1),")")</f>
        <v>(39.9)</v>
      </c>
      <c r="K392" s="278">
        <f>B397-B392</f>
        <v>4.9043796222045799E-2</v>
      </c>
      <c r="L392" s="278">
        <f>D397-D392</f>
        <v>0.13131689599920848</v>
      </c>
      <c r="M392" s="278">
        <f>F397-F392</f>
        <v>0</v>
      </c>
      <c r="N392" s="278">
        <f>SUM(K392:M392)</f>
        <v>0.18036069222125428</v>
      </c>
    </row>
    <row r="393" spans="1:14">
      <c r="A393" s="258" t="s">
        <v>142</v>
      </c>
      <c r="B393" s="278">
        <f>'Ind T6'!Q161</f>
        <v>4.8356524541812131</v>
      </c>
      <c r="C393" s="275" t="str">
        <f>CONCATENATE("(",ROUND((B393/$H394)*100,1),")")</f>
        <v>(31.1)</v>
      </c>
      <c r="D393" s="278">
        <f>'Ind T6'!R161</f>
        <v>4.2321079553547767</v>
      </c>
      <c r="E393" s="275" t="str">
        <f>CONCATENATE("(",ROUND((D393/$H394)*100,1),")")</f>
        <v>(27.2)</v>
      </c>
      <c r="F393" s="278">
        <f>'Ind T6'!S161</f>
        <v>0.28361039782732705</v>
      </c>
      <c r="G393" s="275" t="str">
        <f>CONCATENATE("(",ROUND((F393/$H394)*100,1),")")</f>
        <v>(1.8)</v>
      </c>
      <c r="H393" s="278">
        <f t="shared" ref="H393" si="295">SUM(B393,D393,F393)</f>
        <v>9.3513708073633168</v>
      </c>
      <c r="I393" s="275" t="str">
        <f>CONCATENATE("(",ROUND((H393/$H394)*100,1),")")</f>
        <v>(60.1)</v>
      </c>
      <c r="K393" s="278">
        <f t="shared" ref="K393:K394" si="296">B398-B393</f>
        <v>0.25137541630809412</v>
      </c>
      <c r="L393" s="278">
        <f t="shared" ref="L393:L394" si="297">D398-D393</f>
        <v>0.22193810076778764</v>
      </c>
      <c r="M393" s="278">
        <f t="shared" ref="M393:M394" si="298">F398-F393</f>
        <v>1.7325790702840127E-2</v>
      </c>
      <c r="N393" s="278">
        <f t="shared" ref="N393:N394" si="299">SUM(K393:M393)</f>
        <v>0.49063930777872189</v>
      </c>
    </row>
    <row r="394" spans="1:14">
      <c r="A394" s="258" t="s">
        <v>143</v>
      </c>
      <c r="B394" s="278">
        <f>SUM(B392:B393)</f>
        <v>10.220284543029837</v>
      </c>
      <c r="C394" s="275" t="str">
        <f>CONCATENATE("(",ROUND((B394/$H394)*100,1),")")</f>
        <v>(65.7)</v>
      </c>
      <c r="D394" s="278">
        <f>SUM(D392:D393)</f>
        <v>5.0501050591428296</v>
      </c>
      <c r="E394" s="275" t="str">
        <f>CONCATENATE("(",ROUND((D394/$H394)*100,1),")")</f>
        <v>(32.5)</v>
      </c>
      <c r="F394" s="278">
        <f>SUM(F392:F393)</f>
        <v>0.28361039782732705</v>
      </c>
      <c r="G394" s="275" t="str">
        <f>CONCATENATE("(",ROUND((F394/$H394)*100,1),")")</f>
        <v>(1.8)</v>
      </c>
      <c r="H394" s="278">
        <f>SUM(H392:H393)</f>
        <v>15.553999999999993</v>
      </c>
      <c r="I394" s="275" t="str">
        <f>CONCATENATE("(",ROUND((H394/$H394)*100,1),")")</f>
        <v>(100)</v>
      </c>
      <c r="K394" s="278">
        <f t="shared" si="296"/>
        <v>0.30041921253013903</v>
      </c>
      <c r="L394" s="278">
        <f t="shared" si="297"/>
        <v>0.35325499676699579</v>
      </c>
      <c r="M394" s="278">
        <f t="shared" si="298"/>
        <v>1.7325790702840127E-2</v>
      </c>
      <c r="N394" s="278">
        <f t="shared" si="299"/>
        <v>0.67099999999997495</v>
      </c>
    </row>
    <row r="395" spans="1:14">
      <c r="B395" s="278"/>
      <c r="C395" s="260"/>
      <c r="D395" s="278"/>
      <c r="E395" s="260"/>
      <c r="F395" s="278"/>
      <c r="G395" s="260"/>
      <c r="H395" s="278"/>
      <c r="I395" s="260"/>
    </row>
    <row r="396" spans="1:14">
      <c r="A396" s="268">
        <f>$A$18</f>
        <v>2035</v>
      </c>
      <c r="B396" s="278"/>
      <c r="C396" s="260"/>
      <c r="D396" s="278"/>
      <c r="E396" s="260"/>
      <c r="F396" s="278"/>
      <c r="G396" s="260"/>
      <c r="H396" s="278"/>
      <c r="I396" s="260"/>
      <c r="K396" s="262" t="str">
        <f>CONCATENATE(A386," - ",A396)</f>
        <v>2020 - 2035</v>
      </c>
    </row>
    <row r="397" spans="1:14">
      <c r="A397" s="258" t="s">
        <v>141</v>
      </c>
      <c r="B397" s="278">
        <f>'Ind T6'!V162</f>
        <v>5.4336758850706692</v>
      </c>
      <c r="C397" s="275" t="str">
        <f>CONCATENATE("(",ROUND((B397/$H399)*100,1),")")</f>
        <v>(33.5)</v>
      </c>
      <c r="D397" s="278">
        <f>'Ind T6'!W162</f>
        <v>0.94931399978726139</v>
      </c>
      <c r="E397" s="275" t="str">
        <f>CONCATENATE("(",ROUND((D397/$H399)*100,1),")")</f>
        <v>(5.9)</v>
      </c>
      <c r="F397" s="278">
        <f>'Ind T6'!X162</f>
        <v>0</v>
      </c>
      <c r="G397" s="275" t="str">
        <f>CONCATENATE("(",ROUND((F397/$H399)*100,1),")")</f>
        <v>(0)</v>
      </c>
      <c r="H397" s="278">
        <f>SUM(B397,D397,F397)</f>
        <v>6.3829898848579303</v>
      </c>
      <c r="I397" s="275" t="str">
        <f>CONCATENATE("(",ROUND((H397/$H399)*100,1),")")</f>
        <v>(39.3)</v>
      </c>
      <c r="K397" s="278">
        <f>B397-B387</f>
        <v>5.5358388477609211E-2</v>
      </c>
      <c r="L397" s="278">
        <f>D397-D387</f>
        <v>0.18970662056386134</v>
      </c>
      <c r="M397" s="278">
        <f>F397-F387</f>
        <v>0</v>
      </c>
      <c r="N397" s="278">
        <f>SUM(K397:M397)</f>
        <v>0.24506500904147055</v>
      </c>
    </row>
    <row r="398" spans="1:14">
      <c r="A398" s="258" t="s">
        <v>142</v>
      </c>
      <c r="B398" s="278">
        <f>'Ind T6'!V161</f>
        <v>5.0870278704893073</v>
      </c>
      <c r="C398" s="275" t="str">
        <f>CONCATENATE("(",ROUND((B398/$H399)*100,1),")")</f>
        <v>(31.4)</v>
      </c>
      <c r="D398" s="278">
        <f>'Ind T6'!W161</f>
        <v>4.4540460561225643</v>
      </c>
      <c r="E398" s="275" t="str">
        <f>CONCATENATE("(",ROUND((D398/$H399)*100,1),")")</f>
        <v>(27.5)</v>
      </c>
      <c r="F398" s="278">
        <f>'Ind T6'!X161</f>
        <v>0.30093618853016718</v>
      </c>
      <c r="G398" s="275" t="str">
        <f>CONCATENATE("(",ROUND((F398/$H399)*100,1),")")</f>
        <v>(1.9)</v>
      </c>
      <c r="H398" s="278">
        <f t="shared" ref="H398" si="300">SUM(B398,D398,F398)</f>
        <v>9.84201011514204</v>
      </c>
      <c r="I398" s="275" t="str">
        <f>CONCATENATE("(",ROUND((H398/$H399)*100,1),")")</f>
        <v>(60.7)</v>
      </c>
      <c r="K398" s="278">
        <f t="shared" ref="K398:K399" si="301">B398-B388</f>
        <v>0.35458666108038628</v>
      </c>
      <c r="L398" s="278">
        <f t="shared" ref="L398:L399" si="302">D398-D388</f>
        <v>0.32063167830604922</v>
      </c>
      <c r="M398" s="278">
        <f t="shared" ref="M398:M399" si="303">F398-F388</f>
        <v>2.3716651572063818E-2</v>
      </c>
      <c r="N398" s="278">
        <f t="shared" ref="N398:N399" si="304">SUM(K398:M398)</f>
        <v>0.69893499095849931</v>
      </c>
    </row>
    <row r="399" spans="1:14">
      <c r="A399" s="258" t="s">
        <v>143</v>
      </c>
      <c r="B399" s="278">
        <f>SUM(B397:B398)</f>
        <v>10.520703755559976</v>
      </c>
      <c r="C399" s="275" t="str">
        <f>CONCATENATE("(",ROUND((B399/$H399)*100,1),")")</f>
        <v>(64.8)</v>
      </c>
      <c r="D399" s="278">
        <f>SUM(D397:D398)</f>
        <v>5.4033600559098254</v>
      </c>
      <c r="E399" s="275" t="str">
        <f>CONCATENATE("(",ROUND((D399/$H399)*100,1),")")</f>
        <v>(33.3)</v>
      </c>
      <c r="F399" s="278">
        <f>SUM(F397:F398)</f>
        <v>0.30093618853016718</v>
      </c>
      <c r="G399" s="275" t="str">
        <f>CONCATENATE("(",ROUND((F399/$H399)*100,1),")")</f>
        <v>(1.9)</v>
      </c>
      <c r="H399" s="278">
        <f>SUM(H397:H398)</f>
        <v>16.224999999999969</v>
      </c>
      <c r="I399" s="275" t="str">
        <f>CONCATENATE("(",ROUND((H399/$H399)*100,1),")")</f>
        <v>(100)</v>
      </c>
      <c r="K399" s="278">
        <f t="shared" si="301"/>
        <v>0.40994504955799549</v>
      </c>
      <c r="L399" s="278">
        <f t="shared" si="302"/>
        <v>0.51033829886991011</v>
      </c>
      <c r="M399" s="278">
        <f t="shared" si="303"/>
        <v>2.3716651572063818E-2</v>
      </c>
      <c r="N399" s="278">
        <f t="shared" si="304"/>
        <v>0.94399999999996942</v>
      </c>
    </row>
    <row r="400" spans="1:14">
      <c r="A400" s="269"/>
      <c r="B400" s="270"/>
      <c r="C400" s="269"/>
      <c r="D400" s="270"/>
      <c r="E400" s="269"/>
      <c r="F400" s="270"/>
      <c r="G400" s="269"/>
      <c r="H400" s="270"/>
      <c r="I400" s="269"/>
      <c r="J400" s="269"/>
      <c r="K400" s="270"/>
      <c r="L400" s="270"/>
      <c r="M400" s="270"/>
      <c r="N400" s="270"/>
    </row>
    <row r="404" spans="1:14">
      <c r="A404" s="264"/>
      <c r="B404" s="265" t="s">
        <v>130</v>
      </c>
      <c r="C404" s="264"/>
      <c r="D404" s="265"/>
      <c r="E404" s="264"/>
      <c r="F404" s="265" t="str">
        <f>name!B22</f>
        <v>Education</v>
      </c>
      <c r="G404" s="264"/>
      <c r="H404" s="267"/>
      <c r="I404" s="264"/>
      <c r="J404" s="266"/>
      <c r="K404" s="267"/>
      <c r="L404" s="267"/>
      <c r="M404" s="267"/>
      <c r="N404" s="267"/>
    </row>
    <row r="405" spans="1:14">
      <c r="N405" s="263" t="s">
        <v>131</v>
      </c>
    </row>
    <row r="406" spans="1:14">
      <c r="A406" s="159" t="s">
        <v>132</v>
      </c>
      <c r="B406" s="344" t="s">
        <v>133</v>
      </c>
      <c r="C406" s="344"/>
      <c r="D406" s="344" t="s">
        <v>134</v>
      </c>
      <c r="E406" s="344"/>
      <c r="F406" s="344" t="s">
        <v>135</v>
      </c>
      <c r="G406" s="344"/>
      <c r="H406" s="344" t="s">
        <v>117</v>
      </c>
      <c r="I406" s="344"/>
      <c r="J406" s="159"/>
      <c r="K406" s="273" t="s">
        <v>136</v>
      </c>
      <c r="L406" s="273" t="s">
        <v>137</v>
      </c>
      <c r="M406" s="273" t="s">
        <v>138</v>
      </c>
      <c r="N406" s="273" t="s">
        <v>117</v>
      </c>
    </row>
    <row r="407" spans="1:14">
      <c r="A407" s="268">
        <f>$A$8</f>
        <v>2020</v>
      </c>
      <c r="B407" s="263" t="s">
        <v>139</v>
      </c>
      <c r="C407" s="19" t="s">
        <v>140</v>
      </c>
      <c r="D407" s="263" t="s">
        <v>139</v>
      </c>
      <c r="E407" s="19" t="s">
        <v>140</v>
      </c>
      <c r="F407" s="263" t="s">
        <v>139</v>
      </c>
      <c r="G407" s="19" t="s">
        <v>140</v>
      </c>
      <c r="H407" s="263" t="s">
        <v>139</v>
      </c>
      <c r="I407" s="19" t="s">
        <v>140</v>
      </c>
      <c r="J407" s="159"/>
      <c r="K407" s="262" t="str">
        <f>CONCATENATE(A407," - ",A412)</f>
        <v>2020 - 2025</v>
      </c>
      <c r="L407" s="261"/>
      <c r="M407" s="261"/>
    </row>
    <row r="408" spans="1:14">
      <c r="A408" s="258" t="s">
        <v>141</v>
      </c>
      <c r="B408" s="278">
        <f>'Ind T6'!L171</f>
        <v>8.7368096280798593</v>
      </c>
      <c r="C408" s="275" t="str">
        <f>CONCATENATE("(",ROUND((B408/$H410)*100,1),")")</f>
        <v>(19.4)</v>
      </c>
      <c r="D408" s="278">
        <f>'Ind T6'!M171</f>
        <v>2.5570220676497093</v>
      </c>
      <c r="E408" s="275" t="str">
        <f>CONCATENATE("(",ROUND((D408/$H410)*100,1),")")</f>
        <v>(5.7)</v>
      </c>
      <c r="F408" s="278">
        <f>'Ind T6'!N171</f>
        <v>1.4019979060206686</v>
      </c>
      <c r="G408" s="275" t="str">
        <f>CONCATENATE("(",ROUND((F408/$H410)*100,1),")")</f>
        <v>(3.1)</v>
      </c>
      <c r="H408" s="278">
        <f>SUM(B408,D408,F408)</f>
        <v>12.695829601750237</v>
      </c>
      <c r="I408" s="275" t="str">
        <f>CONCATENATE("(",ROUND((H408/$H410)*100,1),")")</f>
        <v>(28.2)</v>
      </c>
      <c r="K408" s="278">
        <f>B413-B408</f>
        <v>0.13327330108301538</v>
      </c>
      <c r="L408" s="278">
        <f>D413-D408</f>
        <v>0.10867948027396945</v>
      </c>
      <c r="M408" s="278">
        <f>F413-F408</f>
        <v>6.8071423323773361E-2</v>
      </c>
      <c r="N408" s="278">
        <f>SUM(K408:M408)</f>
        <v>0.3100242046807582</v>
      </c>
    </row>
    <row r="409" spans="1:14">
      <c r="A409" s="258" t="s">
        <v>142</v>
      </c>
      <c r="B409" s="278">
        <f>'Ind T6'!L170</f>
        <v>14.084943498681369</v>
      </c>
      <c r="C409" s="275" t="str">
        <f>CONCATENATE("(",ROUND((B409/$H410)*100,1),")")</f>
        <v>(31.3)</v>
      </c>
      <c r="D409" s="278">
        <f>'Ind T6'!M170</f>
        <v>16.524920696941948</v>
      </c>
      <c r="E409" s="275" t="str">
        <f>CONCATENATE("(",ROUND((D409/$H410)*100,1),")")</f>
        <v>(36.7)</v>
      </c>
      <c r="F409" s="278">
        <f>'Ind T6'!N170</f>
        <v>1.7573062026264166</v>
      </c>
      <c r="G409" s="275" t="str">
        <f>CONCATENATE("(",ROUND((F409/$H410)*100,1),")")</f>
        <v>(3.9)</v>
      </c>
      <c r="H409" s="278">
        <f t="shared" ref="H409" si="305">SUM(B409,D409,F409)</f>
        <v>32.367170398249733</v>
      </c>
      <c r="I409" s="275" t="str">
        <f>CONCATENATE("(",ROUND((H409/$H410)*100,1),")")</f>
        <v>(71.8)</v>
      </c>
      <c r="K409" s="278">
        <f t="shared" ref="K409:K410" si="306">B414-B409</f>
        <v>0.72614094135468044</v>
      </c>
      <c r="L409" s="278">
        <f t="shared" ref="L409:L410" si="307">D414-D409</f>
        <v>0.10825213975307335</v>
      </c>
      <c r="M409" s="278">
        <f t="shared" ref="M409:M410" si="308">F414-F409</f>
        <v>7.058271421152873E-2</v>
      </c>
      <c r="N409" s="278">
        <f t="shared" ref="N409:N410" si="309">SUM(K409:M409)</f>
        <v>0.90497579531928252</v>
      </c>
    </row>
    <row r="410" spans="1:14">
      <c r="A410" s="258" t="s">
        <v>143</v>
      </c>
      <c r="B410" s="278">
        <f>SUM(B408:B409)</f>
        <v>22.82175312676123</v>
      </c>
      <c r="C410" s="275" t="str">
        <f>CONCATENATE("(",ROUND((B410/$H410)*100,1),")")</f>
        <v>(50.6)</v>
      </c>
      <c r="D410" s="278">
        <f>SUM(D408:D409)</f>
        <v>19.081942764591656</v>
      </c>
      <c r="E410" s="275" t="str">
        <f>CONCATENATE("(",ROUND((D410/$H410)*100,1),")")</f>
        <v>(42.3)</v>
      </c>
      <c r="F410" s="278">
        <f>SUM(F408:F409)</f>
        <v>3.1593041086470852</v>
      </c>
      <c r="G410" s="275" t="str">
        <f>CONCATENATE("(",ROUND((F410/$H410)*100,1),")")</f>
        <v>(7)</v>
      </c>
      <c r="H410" s="278">
        <f>SUM(H408:H409)</f>
        <v>45.062999999999974</v>
      </c>
      <c r="I410" s="275" t="str">
        <f>CONCATENATE("(",ROUND((H410/$H410)*100,1),")")</f>
        <v>(100)</v>
      </c>
      <c r="K410" s="278">
        <f t="shared" si="306"/>
        <v>0.85941424243769404</v>
      </c>
      <c r="L410" s="278">
        <f t="shared" si="307"/>
        <v>0.21693162002704369</v>
      </c>
      <c r="M410" s="278">
        <f t="shared" si="308"/>
        <v>0.13865413753530209</v>
      </c>
      <c r="N410" s="278">
        <f t="shared" si="309"/>
        <v>1.2150000000000398</v>
      </c>
    </row>
    <row r="411" spans="1:14">
      <c r="B411" s="278"/>
      <c r="C411" s="260"/>
      <c r="D411" s="278"/>
      <c r="E411" s="260"/>
      <c r="F411" s="278"/>
      <c r="G411" s="260"/>
      <c r="H411" s="278"/>
      <c r="I411" s="260"/>
    </row>
    <row r="412" spans="1:14">
      <c r="A412" s="268">
        <f>$A$13</f>
        <v>2025</v>
      </c>
      <c r="B412" s="278"/>
      <c r="C412" s="260"/>
      <c r="D412" s="278"/>
      <c r="E412" s="260"/>
      <c r="F412" s="278"/>
      <c r="G412" s="260"/>
      <c r="H412" s="278"/>
      <c r="I412" s="260"/>
      <c r="K412" s="262" t="str">
        <f>CONCATENATE(A412," - ",A417)</f>
        <v>2025 - 2035</v>
      </c>
    </row>
    <row r="413" spans="1:14">
      <c r="A413" s="258" t="s">
        <v>141</v>
      </c>
      <c r="B413" s="278">
        <f>'Ind T6'!Q171</f>
        <v>8.8700829291628747</v>
      </c>
      <c r="C413" s="275" t="str">
        <f>CONCATENATE("(",ROUND((B413/$H415)*100,1),")")</f>
        <v>(19.2)</v>
      </c>
      <c r="D413" s="278">
        <f>'Ind T6'!R171</f>
        <v>2.6657015479236787</v>
      </c>
      <c r="E413" s="275" t="str">
        <f>CONCATENATE("(",ROUND((D413/$H415)*100,1),")")</f>
        <v>(5.8)</v>
      </c>
      <c r="F413" s="278">
        <f>'Ind T6'!S171</f>
        <v>1.470069329344442</v>
      </c>
      <c r="G413" s="275" t="str">
        <f>CONCATENATE("(",ROUND((F413/$H415)*100,1),")")</f>
        <v>(3.2)</v>
      </c>
      <c r="H413" s="278">
        <f>SUM(B413,D413,F413)</f>
        <v>13.005853806430995</v>
      </c>
      <c r="I413" s="275" t="str">
        <f>CONCATENATE("(",ROUND((H413/$H415)*100,1),")")</f>
        <v>(28.1)</v>
      </c>
      <c r="K413" s="278">
        <f>B418-B413</f>
        <v>0.34597539715730541</v>
      </c>
      <c r="L413" s="278">
        <f>D418-D413</f>
        <v>0.23725017820928107</v>
      </c>
      <c r="M413" s="278">
        <f>F418-F413</f>
        <v>0.14517205479689976</v>
      </c>
      <c r="N413" s="278">
        <f>SUM(K413:M413)</f>
        <v>0.72839763016348624</v>
      </c>
    </row>
    <row r="414" spans="1:14">
      <c r="A414" s="258" t="s">
        <v>142</v>
      </c>
      <c r="B414" s="278">
        <f>'Ind T6'!Q170</f>
        <v>14.81108444003605</v>
      </c>
      <c r="C414" s="275" t="str">
        <f>CONCATENATE("(",ROUND((B414/$H415)*100,1),")")</f>
        <v>(32)</v>
      </c>
      <c r="D414" s="278">
        <f>'Ind T6'!R170</f>
        <v>16.633172836695021</v>
      </c>
      <c r="E414" s="275" t="str">
        <f>CONCATENATE("(",ROUND((D414/$H415)*100,1),")")</f>
        <v>(35.9)</v>
      </c>
      <c r="F414" s="278">
        <f>'Ind T6'!S170</f>
        <v>1.8278889168379453</v>
      </c>
      <c r="G414" s="275" t="str">
        <f>CONCATENATE("(",ROUND((F414/$H415)*100,1),")")</f>
        <v>(3.9)</v>
      </c>
      <c r="H414" s="278">
        <f t="shared" ref="H414" si="310">SUM(B414,D414,F414)</f>
        <v>33.272146193569014</v>
      </c>
      <c r="I414" s="275" t="str">
        <f>CONCATENATE("(",ROUND((H414/$H415)*100,1),")")</f>
        <v>(71.9)</v>
      </c>
      <c r="K414" s="278">
        <f t="shared" ref="K414:K415" si="311">B419-B414</f>
        <v>1.7086269017580715</v>
      </c>
      <c r="L414" s="278">
        <f t="shared" ref="L414:L415" si="312">D419-D414</f>
        <v>0.32577715366788951</v>
      </c>
      <c r="M414" s="278">
        <f t="shared" ref="M414:M415" si="313">F419-F414</f>
        <v>0.12319831441046669</v>
      </c>
      <c r="N414" s="278">
        <f t="shared" ref="N414:N415" si="314">SUM(K414:M414)</f>
        <v>2.1576023698364279</v>
      </c>
    </row>
    <row r="415" spans="1:14">
      <c r="A415" s="258" t="s">
        <v>143</v>
      </c>
      <c r="B415" s="278">
        <f>SUM(B413:B414)</f>
        <v>23.681167369198924</v>
      </c>
      <c r="C415" s="275" t="str">
        <f>CONCATENATE("(",ROUND((B415/$H415)*100,1),")")</f>
        <v>(51.2)</v>
      </c>
      <c r="D415" s="278">
        <f>SUM(D413:D414)</f>
        <v>19.298874384618699</v>
      </c>
      <c r="E415" s="275" t="str">
        <f>CONCATENATE("(",ROUND((D415/$H415)*100,1),")")</f>
        <v>(41.7)</v>
      </c>
      <c r="F415" s="278">
        <f>SUM(F413:F414)</f>
        <v>3.2979582461823873</v>
      </c>
      <c r="G415" s="275" t="str">
        <f>CONCATENATE("(",ROUND((F415/$H415)*100,1),")")</f>
        <v>(7.1)</v>
      </c>
      <c r="H415" s="278">
        <f>SUM(H413:H414)</f>
        <v>46.278000000000006</v>
      </c>
      <c r="I415" s="275" t="str">
        <f>CONCATENATE("(",ROUND((H415/$H415)*100,1),")")</f>
        <v>(100)</v>
      </c>
      <c r="K415" s="278">
        <f t="shared" si="311"/>
        <v>2.0546022989153769</v>
      </c>
      <c r="L415" s="278">
        <f t="shared" si="312"/>
        <v>0.5630273318771728</v>
      </c>
      <c r="M415" s="278">
        <f t="shared" si="313"/>
        <v>0.26837036920736645</v>
      </c>
      <c r="N415" s="278">
        <f t="shared" si="314"/>
        <v>2.8859999999999162</v>
      </c>
    </row>
    <row r="416" spans="1:14">
      <c r="B416" s="278"/>
      <c r="C416" s="260"/>
      <c r="D416" s="278"/>
      <c r="E416" s="260"/>
      <c r="F416" s="278"/>
      <c r="G416" s="260"/>
      <c r="H416" s="278"/>
      <c r="I416" s="260"/>
    </row>
    <row r="417" spans="1:14">
      <c r="A417" s="268">
        <f>$A$18</f>
        <v>2035</v>
      </c>
      <c r="B417" s="278"/>
      <c r="C417" s="260"/>
      <c r="D417" s="278"/>
      <c r="E417" s="260"/>
      <c r="F417" s="278"/>
      <c r="G417" s="260"/>
      <c r="H417" s="278"/>
      <c r="I417" s="260"/>
      <c r="K417" s="262" t="str">
        <f>CONCATENATE(A407," - ",A417)</f>
        <v>2020 - 2035</v>
      </c>
    </row>
    <row r="418" spans="1:14">
      <c r="A418" s="258" t="s">
        <v>141</v>
      </c>
      <c r="B418" s="278">
        <f>'Ind T6'!V171</f>
        <v>9.2160583263201801</v>
      </c>
      <c r="C418" s="275" t="str">
        <f>CONCATENATE("(",ROUND((B418/$H420)*100,1),")")</f>
        <v>(18.7)</v>
      </c>
      <c r="D418" s="278">
        <f>'Ind T6'!W171</f>
        <v>2.9029517261329598</v>
      </c>
      <c r="E418" s="275" t="str">
        <f>CONCATENATE("(",ROUND((D418/$H420)*100,1),")")</f>
        <v>(5.9)</v>
      </c>
      <c r="F418" s="278">
        <f>'Ind T6'!X171</f>
        <v>1.6152413841413418</v>
      </c>
      <c r="G418" s="275" t="str">
        <f>CONCATENATE("(",ROUND((F418/$H420)*100,1),")")</f>
        <v>(3.3)</v>
      </c>
      <c r="H418" s="278">
        <f>SUM(B418,D418,F418)</f>
        <v>13.734251436594482</v>
      </c>
      <c r="I418" s="275" t="str">
        <f>CONCATENATE("(",ROUND((H418/$H420)*100,1),")")</f>
        <v>(27.9)</v>
      </c>
      <c r="K418" s="278">
        <f>B418-B408</f>
        <v>0.47924869824032079</v>
      </c>
      <c r="L418" s="278">
        <f>D418-D408</f>
        <v>0.34592965848325052</v>
      </c>
      <c r="M418" s="278">
        <f>F418-F408</f>
        <v>0.21324347812067312</v>
      </c>
      <c r="N418" s="278">
        <f>SUM(K418:M418)</f>
        <v>1.0384218348442444</v>
      </c>
    </row>
    <row r="419" spans="1:14">
      <c r="A419" s="258" t="s">
        <v>142</v>
      </c>
      <c r="B419" s="278">
        <f>'Ind T6'!V170</f>
        <v>16.519711341794121</v>
      </c>
      <c r="C419" s="275" t="str">
        <f>CONCATENATE("(",ROUND((B419/$H420)*100,1),")")</f>
        <v>(33.6)</v>
      </c>
      <c r="D419" s="278">
        <f>'Ind T6'!W170</f>
        <v>16.95894999036291</v>
      </c>
      <c r="E419" s="275" t="str">
        <f>CONCATENATE("(",ROUND((D419/$H420)*100,1),")")</f>
        <v>(34.5)</v>
      </c>
      <c r="F419" s="278">
        <f>'Ind T6'!X170</f>
        <v>1.951087231248412</v>
      </c>
      <c r="G419" s="275" t="str">
        <f>CONCATENATE("(",ROUND((F419/$H420)*100,1),")")</f>
        <v>(4)</v>
      </c>
      <c r="H419" s="278">
        <f t="shared" ref="H419" si="315">SUM(B419,D419,F419)</f>
        <v>35.429748563405447</v>
      </c>
      <c r="I419" s="275" t="str">
        <f>CONCATENATE("(",ROUND((H419/$H420)*100,1),")")</f>
        <v>(72.1)</v>
      </c>
      <c r="K419" s="278">
        <f t="shared" ref="K419:K420" si="316">B419-B409</f>
        <v>2.434767843112752</v>
      </c>
      <c r="L419" s="278">
        <f t="shared" ref="L419:L420" si="317">D419-D409</f>
        <v>0.43402929342096286</v>
      </c>
      <c r="M419" s="278">
        <f t="shared" ref="M419:M420" si="318">F419-F409</f>
        <v>0.19378102862199542</v>
      </c>
      <c r="N419" s="278">
        <f t="shared" ref="N419:N420" si="319">SUM(K419:M419)</f>
        <v>3.0625781651557102</v>
      </c>
    </row>
    <row r="420" spans="1:14">
      <c r="A420" s="258" t="s">
        <v>143</v>
      </c>
      <c r="B420" s="278">
        <f>SUM(B418:B419)</f>
        <v>25.735769668114301</v>
      </c>
      <c r="C420" s="275" t="str">
        <f>CONCATENATE("(",ROUND((B420/$H420)*100,1),")")</f>
        <v>(52.3)</v>
      </c>
      <c r="D420" s="278">
        <f>SUM(D418:D419)</f>
        <v>19.861901716495872</v>
      </c>
      <c r="E420" s="275" t="str">
        <f>CONCATENATE("(",ROUND((D420/$H420)*100,1),")")</f>
        <v>(40.4)</v>
      </c>
      <c r="F420" s="278">
        <f>SUM(F418:F419)</f>
        <v>3.5663286153897538</v>
      </c>
      <c r="G420" s="275" t="str">
        <f>CONCATENATE("(",ROUND((F420/$H420)*100,1),")")</f>
        <v>(7.3)</v>
      </c>
      <c r="H420" s="278">
        <f>SUM(H418:H419)</f>
        <v>49.16399999999993</v>
      </c>
      <c r="I420" s="275" t="str">
        <f>CONCATENATE("(",ROUND((H420/$H420)*100,1),")")</f>
        <v>(100)</v>
      </c>
      <c r="K420" s="278">
        <f t="shared" si="316"/>
        <v>2.914016541353071</v>
      </c>
      <c r="L420" s="278">
        <f t="shared" si="317"/>
        <v>0.77995895190421649</v>
      </c>
      <c r="M420" s="278">
        <f t="shared" si="318"/>
        <v>0.40702450674266855</v>
      </c>
      <c r="N420" s="278">
        <f t="shared" si="319"/>
        <v>4.1009999999999565</v>
      </c>
    </row>
    <row r="421" spans="1:14">
      <c r="A421" s="269"/>
      <c r="B421" s="270"/>
      <c r="C421" s="269"/>
      <c r="D421" s="270"/>
      <c r="E421" s="269"/>
      <c r="F421" s="270"/>
      <c r="G421" s="269"/>
      <c r="H421" s="270"/>
      <c r="I421" s="269"/>
      <c r="J421" s="269"/>
      <c r="K421" s="270"/>
      <c r="L421" s="270"/>
      <c r="M421" s="270"/>
      <c r="N421" s="270"/>
    </row>
    <row r="424" spans="1:14">
      <c r="C424" s="159"/>
      <c r="E424" s="159"/>
      <c r="G424" s="159"/>
      <c r="I424" s="159"/>
    </row>
    <row r="425" spans="1:14">
      <c r="A425" s="264"/>
      <c r="B425" s="265" t="s">
        <v>130</v>
      </c>
      <c r="C425" s="264"/>
      <c r="D425" s="265"/>
      <c r="E425" s="264"/>
      <c r="F425" s="265" t="str">
        <f>name!B23</f>
        <v>Health and social work</v>
      </c>
      <c r="G425" s="264"/>
      <c r="H425" s="267"/>
      <c r="I425" s="264"/>
      <c r="J425" s="266"/>
      <c r="K425" s="267"/>
      <c r="L425" s="267"/>
      <c r="M425" s="267"/>
      <c r="N425" s="267"/>
    </row>
    <row r="426" spans="1:14">
      <c r="N426" s="263" t="s">
        <v>131</v>
      </c>
    </row>
    <row r="427" spans="1:14">
      <c r="A427" s="159" t="s">
        <v>132</v>
      </c>
      <c r="B427" s="344" t="s">
        <v>133</v>
      </c>
      <c r="C427" s="344"/>
      <c r="D427" s="344" t="s">
        <v>134</v>
      </c>
      <c r="E427" s="344"/>
      <c r="F427" s="344" t="s">
        <v>135</v>
      </c>
      <c r="G427" s="344"/>
      <c r="H427" s="344" t="s">
        <v>117</v>
      </c>
      <c r="I427" s="344"/>
      <c r="J427" s="159"/>
      <c r="K427" s="273" t="s">
        <v>136</v>
      </c>
      <c r="L427" s="273" t="s">
        <v>137</v>
      </c>
      <c r="M427" s="273" t="s">
        <v>138</v>
      </c>
      <c r="N427" s="273" t="s">
        <v>117</v>
      </c>
    </row>
    <row r="428" spans="1:14">
      <c r="A428" s="268">
        <f>$A$8</f>
        <v>2020</v>
      </c>
      <c r="B428" s="263" t="s">
        <v>139</v>
      </c>
      <c r="C428" s="19" t="s">
        <v>140</v>
      </c>
      <c r="D428" s="263" t="s">
        <v>139</v>
      </c>
      <c r="E428" s="19" t="s">
        <v>140</v>
      </c>
      <c r="F428" s="263" t="s">
        <v>139</v>
      </c>
      <c r="G428" s="19" t="s">
        <v>140</v>
      </c>
      <c r="H428" s="263" t="s">
        <v>139</v>
      </c>
      <c r="I428" s="19" t="s">
        <v>140</v>
      </c>
      <c r="J428" s="159"/>
      <c r="K428" s="262" t="str">
        <f>CONCATENATE(A428," - ",A433)</f>
        <v>2020 - 2025</v>
      </c>
      <c r="L428" s="261"/>
      <c r="M428" s="261"/>
    </row>
    <row r="429" spans="1:14">
      <c r="A429" s="258" t="s">
        <v>141</v>
      </c>
      <c r="B429" s="278">
        <f>'Ind T6'!L180</f>
        <v>9.6901075714728844</v>
      </c>
      <c r="C429" s="275" t="str">
        <f>CONCATENATE("(",ROUND((B429/$H431)*100,1),")")</f>
        <v>(13.5)</v>
      </c>
      <c r="D429" s="278">
        <f>'Ind T6'!M180</f>
        <v>2.9097972017943849</v>
      </c>
      <c r="E429" s="275" t="str">
        <f>CONCATENATE("(",ROUND((D429/$H431)*100,1),")")</f>
        <v>(4.1)</v>
      </c>
      <c r="F429" s="278">
        <f>'Ind T6'!N180</f>
        <v>2.5419835701530942</v>
      </c>
      <c r="G429" s="275" t="str">
        <f>CONCATENATE("(",ROUND((F429/$H431)*100,1),")")</f>
        <v>(3.5)</v>
      </c>
      <c r="H429" s="278">
        <f>SUM(B429,D429,F429)</f>
        <v>15.141888343420364</v>
      </c>
      <c r="I429" s="275" t="str">
        <f>CONCATENATE("(",ROUND((H429/$H431)*100,1),")")</f>
        <v>(21.1)</v>
      </c>
      <c r="K429" s="278">
        <f>B434-B429</f>
        <v>0.63004696856046394</v>
      </c>
      <c r="L429" s="278">
        <f>D434-D429</f>
        <v>0.2644131336568436</v>
      </c>
      <c r="M429" s="278">
        <f>F434-F429</f>
        <v>2.9034636621757315E-2</v>
      </c>
      <c r="N429" s="278">
        <f>SUM(K429:M429)</f>
        <v>0.92349473883906485</v>
      </c>
    </row>
    <row r="430" spans="1:14">
      <c r="A430" s="258" t="s">
        <v>142</v>
      </c>
      <c r="B430" s="278">
        <f>'Ind T6'!L179</f>
        <v>28.946679698156814</v>
      </c>
      <c r="C430" s="275" t="str">
        <f>CONCATENATE("(",ROUND((B430/$H431)*100,1),")")</f>
        <v>(40.3)</v>
      </c>
      <c r="D430" s="278">
        <f>'Ind T6'!M179</f>
        <v>25.353827852907315</v>
      </c>
      <c r="E430" s="275" t="str">
        <f>CONCATENATE("(",ROUND((D430/$H431)*100,1),")")</f>
        <v>(35.3)</v>
      </c>
      <c r="F430" s="278">
        <f>'Ind T6'!N179</f>
        <v>2.3276041055154866</v>
      </c>
      <c r="G430" s="275" t="str">
        <f>CONCATENATE("(",ROUND((F430/$H431)*100,1),")")</f>
        <v>(3.2)</v>
      </c>
      <c r="H430" s="278">
        <f t="shared" ref="H430" si="320">SUM(B430,D430,F430)</f>
        <v>56.628111656579613</v>
      </c>
      <c r="I430" s="275" t="str">
        <f>CONCATENATE("(",ROUND((H430/$H431)*100,1),")")</f>
        <v>(78.9)</v>
      </c>
      <c r="K430" s="278">
        <f t="shared" ref="K430:K431" si="321">B435-B430</f>
        <v>2.7277704430837098</v>
      </c>
      <c r="L430" s="278">
        <f t="shared" ref="L430:L431" si="322">D435-D430</f>
        <v>0.79874739789023508</v>
      </c>
      <c r="M430" s="278">
        <f t="shared" ref="M430:M431" si="323">F435-F430</f>
        <v>0.29498742018702373</v>
      </c>
      <c r="N430" s="278">
        <f t="shared" ref="N430:N431" si="324">SUM(K430:M430)</f>
        <v>3.8215052611609686</v>
      </c>
    </row>
    <row r="431" spans="1:14">
      <c r="A431" s="258" t="s">
        <v>143</v>
      </c>
      <c r="B431" s="278">
        <f>SUM(B429:B430)</f>
        <v>38.6367872696297</v>
      </c>
      <c r="C431" s="275" t="str">
        <f>CONCATENATE("(",ROUND((B431/$H431)*100,1),")")</f>
        <v>(53.8)</v>
      </c>
      <c r="D431" s="278">
        <f>SUM(D429:D430)</f>
        <v>28.263625054701699</v>
      </c>
      <c r="E431" s="275" t="str">
        <f>CONCATENATE("(",ROUND((D431/$H431)*100,1),")")</f>
        <v>(39.4)</v>
      </c>
      <c r="F431" s="278">
        <f>SUM(F429:F430)</f>
        <v>4.8695876756685808</v>
      </c>
      <c r="G431" s="275" t="str">
        <f>CONCATENATE("(",ROUND((F431/$H431)*100,1),")")</f>
        <v>(6.8)</v>
      </c>
      <c r="H431" s="278">
        <f>SUM(H429:H430)</f>
        <v>71.769999999999982</v>
      </c>
      <c r="I431" s="275" t="str">
        <f>CONCATENATE("(",ROUND((H431/$H431)*100,1),")")</f>
        <v>(100)</v>
      </c>
      <c r="K431" s="278">
        <f t="shared" si="321"/>
        <v>3.3578174116441701</v>
      </c>
      <c r="L431" s="278">
        <f t="shared" si="322"/>
        <v>1.06316053154708</v>
      </c>
      <c r="M431" s="278">
        <f t="shared" si="323"/>
        <v>0.32402205680878104</v>
      </c>
      <c r="N431" s="278">
        <f t="shared" si="324"/>
        <v>4.7450000000000312</v>
      </c>
    </row>
    <row r="432" spans="1:14">
      <c r="B432" s="278"/>
      <c r="C432" s="260"/>
      <c r="D432" s="278"/>
      <c r="E432" s="260"/>
      <c r="F432" s="278"/>
      <c r="G432" s="260"/>
      <c r="H432" s="278"/>
      <c r="I432" s="260"/>
    </row>
    <row r="433" spans="1:14">
      <c r="A433" s="268">
        <f>$A$13</f>
        <v>2025</v>
      </c>
      <c r="B433" s="278"/>
      <c r="C433" s="260"/>
      <c r="D433" s="278"/>
      <c r="E433" s="260"/>
      <c r="F433" s="278"/>
      <c r="G433" s="260"/>
      <c r="H433" s="278"/>
      <c r="I433" s="260"/>
      <c r="K433" s="262" t="str">
        <f>CONCATENATE(A433," - ",A438)</f>
        <v>2025 - 2035</v>
      </c>
    </row>
    <row r="434" spans="1:14">
      <c r="A434" s="258" t="s">
        <v>141</v>
      </c>
      <c r="B434" s="278">
        <f>'Ind T6'!Q180</f>
        <v>10.320154540033348</v>
      </c>
      <c r="C434" s="275" t="str">
        <f>CONCATENATE("(",ROUND((B434/$H436)*100,1),")")</f>
        <v>(13.5)</v>
      </c>
      <c r="D434" s="278">
        <f>'Ind T6'!R180</f>
        <v>3.1742103354512285</v>
      </c>
      <c r="E434" s="275" t="str">
        <f>CONCATENATE("(",ROUND((D434/$H436)*100,1),")")</f>
        <v>(4.1)</v>
      </c>
      <c r="F434" s="278">
        <f>'Ind T6'!S180</f>
        <v>2.5710182067748515</v>
      </c>
      <c r="G434" s="275" t="str">
        <f>CONCATENATE("(",ROUND((F434/$H436)*100,1),")")</f>
        <v>(3.4)</v>
      </c>
      <c r="H434" s="278">
        <f>SUM(B434,D434,F434)</f>
        <v>16.065383082259427</v>
      </c>
      <c r="I434" s="275" t="str">
        <f>CONCATENATE("(",ROUND((H434/$H436)*100,1),")")</f>
        <v>(21)</v>
      </c>
      <c r="K434" s="278">
        <f>B439-B434</f>
        <v>0.65263174992261597</v>
      </c>
      <c r="L434" s="278">
        <f>D439-D434</f>
        <v>0.32937622884460804</v>
      </c>
      <c r="M434" s="278">
        <f>F439-F434</f>
        <v>-0.11858655673406382</v>
      </c>
      <c r="N434" s="278">
        <f>SUM(K434:M434)</f>
        <v>0.86342142203316019</v>
      </c>
    </row>
    <row r="435" spans="1:14">
      <c r="A435" s="258" t="s">
        <v>142</v>
      </c>
      <c r="B435" s="278">
        <f>'Ind T6'!Q179</f>
        <v>31.674450141240523</v>
      </c>
      <c r="C435" s="275" t="str">
        <f>CONCATENATE("(",ROUND((B435/$H436)*100,1),")")</f>
        <v>(41.4)</v>
      </c>
      <c r="D435" s="278">
        <f>'Ind T6'!R179</f>
        <v>26.15257525079755</v>
      </c>
      <c r="E435" s="275" t="str">
        <f>CONCATENATE("(",ROUND((D435/$H436)*100,1),")")</f>
        <v>(34.2)</v>
      </c>
      <c r="F435" s="278">
        <f>'Ind T6'!S179</f>
        <v>2.6225915257025103</v>
      </c>
      <c r="G435" s="275" t="str">
        <f>CONCATENATE("(",ROUND((F435/$H436)*100,1),")")</f>
        <v>(3.4)</v>
      </c>
      <c r="H435" s="278">
        <f t="shared" ref="H435" si="325">SUM(B435,D435,F435)</f>
        <v>60.449616917740585</v>
      </c>
      <c r="I435" s="275" t="str">
        <f>CONCATENATE("(",ROUND((H435/$H436)*100,1),")")</f>
        <v>(79)</v>
      </c>
      <c r="K435" s="278">
        <f t="shared" ref="K435:K436" si="326">B440-B435</f>
        <v>3.798771733267106</v>
      </c>
      <c r="L435" s="278">
        <f t="shared" ref="L435:L436" si="327">D440-D435</f>
        <v>-0.36730705449640055</v>
      </c>
      <c r="M435" s="278">
        <f t="shared" ref="M435:M436" si="328">F440-F435</f>
        <v>0.39311389919617312</v>
      </c>
      <c r="N435" s="278">
        <f t="shared" ref="N435:N436" si="329">SUM(K435:M435)</f>
        <v>3.8245785779668786</v>
      </c>
    </row>
    <row r="436" spans="1:14">
      <c r="A436" s="258" t="s">
        <v>143</v>
      </c>
      <c r="B436" s="278">
        <f>SUM(B434:B435)</f>
        <v>41.99460468127387</v>
      </c>
      <c r="C436" s="275" t="str">
        <f>CONCATENATE("(",ROUND((B436/$H436)*100,1),")")</f>
        <v>(54.9)</v>
      </c>
      <c r="D436" s="278">
        <f>SUM(D434:D435)</f>
        <v>29.326785586248779</v>
      </c>
      <c r="E436" s="275" t="str">
        <f>CONCATENATE("(",ROUND((D436/$H436)*100,1),")")</f>
        <v>(38.3)</v>
      </c>
      <c r="F436" s="278">
        <f>SUM(F434:F435)</f>
        <v>5.1936097324773618</v>
      </c>
      <c r="G436" s="275" t="str">
        <f>CONCATENATE("(",ROUND((F436/$H436)*100,1),")")</f>
        <v>(6.8)</v>
      </c>
      <c r="H436" s="278">
        <f>SUM(H434:H435)</f>
        <v>76.515000000000015</v>
      </c>
      <c r="I436" s="275" t="str">
        <f>CONCATENATE("(",ROUND((H436/$H436)*100,1),")")</f>
        <v>(100)</v>
      </c>
      <c r="K436" s="278">
        <f t="shared" si="326"/>
        <v>4.451403483189722</v>
      </c>
      <c r="L436" s="278">
        <f t="shared" si="327"/>
        <v>-3.7930825651791622E-2</v>
      </c>
      <c r="M436" s="278">
        <f t="shared" si="328"/>
        <v>0.2745273424621093</v>
      </c>
      <c r="N436" s="278">
        <f t="shared" si="329"/>
        <v>4.6880000000000397</v>
      </c>
    </row>
    <row r="437" spans="1:14">
      <c r="B437" s="278"/>
      <c r="C437" s="260"/>
      <c r="D437" s="278"/>
      <c r="E437" s="260"/>
      <c r="F437" s="278"/>
      <c r="G437" s="260"/>
      <c r="H437" s="278"/>
      <c r="I437" s="260"/>
    </row>
    <row r="438" spans="1:14">
      <c r="A438" s="268">
        <f>$A$18</f>
        <v>2035</v>
      </c>
      <c r="B438" s="278"/>
      <c r="C438" s="260"/>
      <c r="D438" s="278"/>
      <c r="E438" s="260"/>
      <c r="F438" s="278"/>
      <c r="G438" s="260"/>
      <c r="H438" s="278"/>
      <c r="I438" s="260"/>
      <c r="K438" s="262" t="str">
        <f>CONCATENATE(A428," - ",A438)</f>
        <v>2020 - 2035</v>
      </c>
    </row>
    <row r="439" spans="1:14">
      <c r="A439" s="258" t="s">
        <v>141</v>
      </c>
      <c r="B439" s="278">
        <f>'Ind T6'!V180</f>
        <v>10.972786289955964</v>
      </c>
      <c r="C439" s="275" t="str">
        <f>CONCATENATE("(",ROUND((B439/$H441)*100,1),")")</f>
        <v>(13.5)</v>
      </c>
      <c r="D439" s="278">
        <f>'Ind T6'!W180</f>
        <v>3.5035865642958366</v>
      </c>
      <c r="E439" s="275" t="str">
        <f>CONCATENATE("(",ROUND((D439/$H441)*100,1),")")</f>
        <v>(4.3)</v>
      </c>
      <c r="F439" s="278">
        <f>'Ind T6'!X180</f>
        <v>2.4524316500407877</v>
      </c>
      <c r="G439" s="275" t="str">
        <f>CONCATENATE("(",ROUND((F439/$H441)*100,1),")")</f>
        <v>(3)</v>
      </c>
      <c r="H439" s="278">
        <f>SUM(B439,D439,F439)</f>
        <v>16.928804504292589</v>
      </c>
      <c r="I439" s="275" t="str">
        <f>CONCATENATE("(",ROUND((H439/$H441)*100,1),")")</f>
        <v>(20.8)</v>
      </c>
      <c r="K439" s="278">
        <f>B439-B429</f>
        <v>1.2826787184830799</v>
      </c>
      <c r="L439" s="278">
        <f>D439-D429</f>
        <v>0.59378936250145165</v>
      </c>
      <c r="M439" s="278">
        <f>F439-F429</f>
        <v>-8.9551920112306505E-2</v>
      </c>
      <c r="N439" s="278">
        <f>SUM(K439:M439)</f>
        <v>1.786916160872225</v>
      </c>
    </row>
    <row r="440" spans="1:14">
      <c r="A440" s="258" t="s">
        <v>142</v>
      </c>
      <c r="B440" s="278">
        <f>'Ind T6'!V179</f>
        <v>35.47322187450763</v>
      </c>
      <c r="C440" s="275" t="str">
        <f>CONCATENATE("(",ROUND((B440/$H441)*100,1),")")</f>
        <v>(43.7)</v>
      </c>
      <c r="D440" s="278">
        <f>'Ind T6'!W179</f>
        <v>25.78526819630115</v>
      </c>
      <c r="E440" s="275" t="str">
        <f>CONCATENATE("(",ROUND((D440/$H441)*100,1),")")</f>
        <v>(31.8)</v>
      </c>
      <c r="F440" s="278">
        <f>'Ind T6'!X179</f>
        <v>3.0157054248986834</v>
      </c>
      <c r="G440" s="275" t="str">
        <f>CONCATENATE("(",ROUND((F440/$H441)*100,1),")")</f>
        <v>(3.7)</v>
      </c>
      <c r="H440" s="278">
        <f t="shared" ref="H440" si="330">SUM(B440,D440,F440)</f>
        <v>64.27419549570746</v>
      </c>
      <c r="I440" s="275" t="str">
        <f>CONCATENATE("(",ROUND((H440/$H441)*100,1),")")</f>
        <v>(79.2)</v>
      </c>
      <c r="K440" s="278">
        <f t="shared" ref="K440:K441" si="331">B440-B430</f>
        <v>6.5265421763508158</v>
      </c>
      <c r="L440" s="278">
        <f t="shared" ref="L440:L441" si="332">D440-D430</f>
        <v>0.43144034339383452</v>
      </c>
      <c r="M440" s="278">
        <f t="shared" ref="M440:M441" si="333">F440-F430</f>
        <v>0.68810131938319685</v>
      </c>
      <c r="N440" s="278">
        <f t="shared" ref="N440:N441" si="334">SUM(K440:M440)</f>
        <v>7.6460838391278472</v>
      </c>
    </row>
    <row r="441" spans="1:14">
      <c r="A441" s="258" t="s">
        <v>143</v>
      </c>
      <c r="B441" s="278">
        <f>SUM(B439:B440)</f>
        <v>46.446008164463592</v>
      </c>
      <c r="C441" s="275" t="str">
        <f>CONCATENATE("(",ROUND((B441/$H441)*100,1),")")</f>
        <v>(57.2)</v>
      </c>
      <c r="D441" s="278">
        <f>SUM(D439:D440)</f>
        <v>29.288854760596987</v>
      </c>
      <c r="E441" s="275" t="str">
        <f>CONCATENATE("(",ROUND((D441/$H441)*100,1),")")</f>
        <v>(36.1)</v>
      </c>
      <c r="F441" s="278">
        <f>SUM(F439:F440)</f>
        <v>5.4681370749394711</v>
      </c>
      <c r="G441" s="275" t="str">
        <f>CONCATENATE("(",ROUND((F441/$H441)*100,1),")")</f>
        <v>(6.7)</v>
      </c>
      <c r="H441" s="278">
        <f>SUM(H439:H440)</f>
        <v>81.203000000000046</v>
      </c>
      <c r="I441" s="275" t="str">
        <f>CONCATENATE("(",ROUND((H441/$H441)*100,1),")")</f>
        <v>(100)</v>
      </c>
      <c r="K441" s="278">
        <f t="shared" si="331"/>
        <v>7.8092208948338921</v>
      </c>
      <c r="L441" s="278">
        <f t="shared" si="332"/>
        <v>1.0252297058952884</v>
      </c>
      <c r="M441" s="278">
        <f t="shared" si="333"/>
        <v>0.59854939927089035</v>
      </c>
      <c r="N441" s="278">
        <f t="shared" si="334"/>
        <v>9.4330000000000709</v>
      </c>
    </row>
    <row r="442" spans="1:14">
      <c r="A442" s="269"/>
      <c r="B442" s="270"/>
      <c r="C442" s="269"/>
      <c r="D442" s="270"/>
      <c r="E442" s="269"/>
      <c r="F442" s="270"/>
      <c r="G442" s="269"/>
      <c r="H442" s="270"/>
      <c r="I442" s="269"/>
      <c r="J442" s="269"/>
      <c r="K442" s="270"/>
      <c r="L442" s="270"/>
      <c r="M442" s="270"/>
      <c r="N442" s="270"/>
    </row>
    <row r="446" spans="1:14">
      <c r="A446" s="264"/>
      <c r="B446" s="265" t="s">
        <v>130</v>
      </c>
      <c r="C446" s="264"/>
      <c r="D446" s="265"/>
      <c r="E446" s="264"/>
      <c r="F446" s="265" t="str">
        <f>name!B24</f>
        <v>Arts and entertainment</v>
      </c>
      <c r="G446" s="264"/>
      <c r="H446" s="267"/>
      <c r="I446" s="264"/>
      <c r="J446" s="266"/>
      <c r="K446" s="267"/>
      <c r="L446" s="267"/>
      <c r="M446" s="267"/>
      <c r="N446" s="267"/>
    </row>
    <row r="447" spans="1:14">
      <c r="N447" s="263" t="s">
        <v>131</v>
      </c>
    </row>
    <row r="448" spans="1:14">
      <c r="A448" s="159" t="s">
        <v>132</v>
      </c>
      <c r="B448" s="344" t="s">
        <v>133</v>
      </c>
      <c r="C448" s="344"/>
      <c r="D448" s="344" t="s">
        <v>134</v>
      </c>
      <c r="E448" s="344"/>
      <c r="F448" s="344" t="s">
        <v>135</v>
      </c>
      <c r="G448" s="344"/>
      <c r="H448" s="344" t="s">
        <v>117</v>
      </c>
      <c r="I448" s="344"/>
      <c r="J448" s="159"/>
      <c r="K448" s="273" t="s">
        <v>136</v>
      </c>
      <c r="L448" s="273" t="s">
        <v>137</v>
      </c>
      <c r="M448" s="273" t="s">
        <v>138</v>
      </c>
      <c r="N448" s="273" t="s">
        <v>117</v>
      </c>
    </row>
    <row r="449" spans="1:14">
      <c r="A449" s="268">
        <f>$A$8</f>
        <v>2020</v>
      </c>
      <c r="B449" s="263" t="s">
        <v>139</v>
      </c>
      <c r="C449" s="19" t="s">
        <v>140</v>
      </c>
      <c r="D449" s="263" t="s">
        <v>139</v>
      </c>
      <c r="E449" s="19" t="s">
        <v>140</v>
      </c>
      <c r="F449" s="263" t="s">
        <v>138</v>
      </c>
      <c r="G449" s="19" t="s">
        <v>140</v>
      </c>
      <c r="H449" s="263" t="s">
        <v>139</v>
      </c>
      <c r="I449" s="19" t="s">
        <v>140</v>
      </c>
      <c r="J449" s="159"/>
      <c r="K449" s="262" t="str">
        <f>CONCATENATE(A449," - ",A454)</f>
        <v>2020 - 2025</v>
      </c>
      <c r="L449" s="261"/>
      <c r="M449" s="261"/>
    </row>
    <row r="450" spans="1:14">
      <c r="A450" s="258" t="s">
        <v>141</v>
      </c>
      <c r="B450" s="278">
        <f>'Ind T6'!L189</f>
        <v>2.2125572259793849</v>
      </c>
      <c r="C450" s="275" t="str">
        <f>CONCATENATE("(",ROUND((B450/$H452)*100,1),")")</f>
        <v>(18.6)</v>
      </c>
      <c r="D450" s="278">
        <f>'Ind T6'!M189</f>
        <v>1.69537930939642</v>
      </c>
      <c r="E450" s="275" t="str">
        <f>CONCATENATE("(",ROUND((D450/$H452)*100,1),")")</f>
        <v>(14.2)</v>
      </c>
      <c r="F450" s="278">
        <f>'Ind T6'!N189</f>
        <v>2.0774343849673809</v>
      </c>
      <c r="G450" s="275" t="str">
        <f>CONCATENATE("(",ROUND((F450/$H452)*100,1),")")</f>
        <v>(17.4)</v>
      </c>
      <c r="H450" s="278">
        <f>SUM(B450,D450,F450)</f>
        <v>5.9853709203431862</v>
      </c>
      <c r="I450" s="275" t="str">
        <f>CONCATENATE("(",ROUND((H450/$H452)*100,1),")")</f>
        <v>(50.3)</v>
      </c>
      <c r="K450" s="278">
        <f>B455-B450</f>
        <v>-3.7273303764736809E-2</v>
      </c>
      <c r="L450" s="278">
        <f>D455-D450</f>
        <v>2.6391654703051159E-2</v>
      </c>
      <c r="M450" s="278">
        <f>F455-F450</f>
        <v>-0.24341252158468052</v>
      </c>
      <c r="N450" s="278">
        <f>SUM(K450:M450)</f>
        <v>-0.25429417064636617</v>
      </c>
    </row>
    <row r="451" spans="1:14">
      <c r="A451" s="258" t="s">
        <v>142</v>
      </c>
      <c r="B451" s="278">
        <f>'Ind T6'!L188</f>
        <v>2.0005158661247031</v>
      </c>
      <c r="C451" s="275" t="str">
        <f>CONCATENATE("(",ROUND((B451/$H452)*100,1),")")</f>
        <v>(16.8)</v>
      </c>
      <c r="D451" s="278">
        <f>'Ind T6'!M188</f>
        <v>2.9623938372715197</v>
      </c>
      <c r="E451" s="275" t="str">
        <f>CONCATENATE("(",ROUND((D451/$H452)*100,1),")")</f>
        <v>(24.9)</v>
      </c>
      <c r="F451" s="278">
        <f>'Ind T6'!N188</f>
        <v>0.96171937626058857</v>
      </c>
      <c r="G451" s="275" t="str">
        <f>CONCATENATE("(",ROUND((F451/$H452)*100,1),")")</f>
        <v>(8.1)</v>
      </c>
      <c r="H451" s="278">
        <f t="shared" ref="H451" si="335">SUM(B451,D451,F451)</f>
        <v>5.9246290796568113</v>
      </c>
      <c r="I451" s="275" t="str">
        <f>CONCATENATE("(",ROUND((H451/$H452)*100,1),")")</f>
        <v>(49.7)</v>
      </c>
      <c r="K451" s="278">
        <f t="shared" ref="K451:K452" si="336">B456-B451</f>
        <v>-0.16214568973481547</v>
      </c>
      <c r="L451" s="278">
        <f t="shared" ref="L451:L452" si="337">D456-D451</f>
        <v>-5.3533379525070313E-2</v>
      </c>
      <c r="M451" s="278">
        <f t="shared" ref="M451:M452" si="338">F456-F451</f>
        <v>-0.15502676009373728</v>
      </c>
      <c r="N451" s="278">
        <f t="shared" ref="N451:N452" si="339">SUM(K451:M451)</f>
        <v>-0.37070582935362306</v>
      </c>
    </row>
    <row r="452" spans="1:14">
      <c r="A452" s="258" t="s">
        <v>143</v>
      </c>
      <c r="B452" s="278">
        <f>SUM(B450:B451)</f>
        <v>4.2130730921040875</v>
      </c>
      <c r="C452" s="275" t="str">
        <f>CONCATENATE("(",ROUND((B452/$H452)*100,1),")")</f>
        <v>(35.4)</v>
      </c>
      <c r="D452" s="278">
        <f>SUM(D450:D451)</f>
        <v>4.6577731466679397</v>
      </c>
      <c r="E452" s="275" t="str">
        <f>CONCATENATE("(",ROUND((D452/$H452)*100,1),")")</f>
        <v>(39.1)</v>
      </c>
      <c r="F452" s="278">
        <f>SUM(F450:F451)</f>
        <v>3.0391537612279693</v>
      </c>
      <c r="G452" s="275" t="str">
        <f>CONCATENATE("(",ROUND((F452/$H452)*100,1),")")</f>
        <v>(25.5)</v>
      </c>
      <c r="H452" s="278">
        <f>SUM(H450:H451)</f>
        <v>11.909999999999997</v>
      </c>
      <c r="I452" s="275" t="str">
        <f>CONCATENATE("(",ROUND((H452/$H452)*100,1),")")</f>
        <v>(100)</v>
      </c>
      <c r="K452" s="278">
        <f t="shared" si="336"/>
        <v>-0.19941899349955161</v>
      </c>
      <c r="L452" s="278">
        <f t="shared" si="337"/>
        <v>-2.7141724822018709E-2</v>
      </c>
      <c r="M452" s="278">
        <f t="shared" si="338"/>
        <v>-0.39843928167841769</v>
      </c>
      <c r="N452" s="278">
        <f t="shared" si="339"/>
        <v>-0.62499999999998801</v>
      </c>
    </row>
    <row r="453" spans="1:14">
      <c r="B453" s="278"/>
      <c r="C453" s="260"/>
      <c r="D453" s="278"/>
      <c r="E453" s="260"/>
      <c r="F453" s="278"/>
      <c r="G453" s="260"/>
      <c r="H453" s="278"/>
      <c r="I453" s="260"/>
    </row>
    <row r="454" spans="1:14">
      <c r="A454" s="268">
        <f>$A$13</f>
        <v>2025</v>
      </c>
      <c r="B454" s="278"/>
      <c r="C454" s="260"/>
      <c r="D454" s="278"/>
      <c r="E454" s="260"/>
      <c r="F454" s="278"/>
      <c r="G454" s="260"/>
      <c r="H454" s="278"/>
      <c r="I454" s="260"/>
      <c r="K454" s="262" t="str">
        <f>CONCATENATE(A454," - ",A459)</f>
        <v>2025 - 2035</v>
      </c>
    </row>
    <row r="455" spans="1:14">
      <c r="A455" s="258" t="s">
        <v>141</v>
      </c>
      <c r="B455" s="278">
        <f>'Ind T6'!Q189</f>
        <v>2.1752839222146481</v>
      </c>
      <c r="C455" s="275" t="str">
        <f>CONCATENATE("(",ROUND((B455/$H457)*100,1),")")</f>
        <v>(19.3)</v>
      </c>
      <c r="D455" s="278">
        <f>'Ind T6'!R189</f>
        <v>1.7217709640994712</v>
      </c>
      <c r="E455" s="275" t="str">
        <f>CONCATENATE("(",ROUND((D455/$H457)*100,1),")")</f>
        <v>(15.3)</v>
      </c>
      <c r="F455" s="278">
        <f>'Ind T6'!S189</f>
        <v>1.8340218633827003</v>
      </c>
      <c r="G455" s="275" t="str">
        <f>CONCATENATE("(",ROUND((F455/$H457)*100,1),")")</f>
        <v>(16.3)</v>
      </c>
      <c r="H455" s="278">
        <f>SUM(B455,D455,F455)</f>
        <v>5.73107674969682</v>
      </c>
      <c r="I455" s="275" t="str">
        <f>CONCATENATE("(",ROUND((H455/$H457)*100,1),")")</f>
        <v>(50.8)</v>
      </c>
      <c r="K455" s="278">
        <f>B460-B455</f>
        <v>0.1474065682537149</v>
      </c>
      <c r="L455" s="278">
        <f>D460-D455</f>
        <v>0.18039803412859245</v>
      </c>
      <c r="M455" s="278">
        <f>F460-F455</f>
        <v>0.11510244027990546</v>
      </c>
      <c r="N455" s="278">
        <f>SUM(K455:M455)</f>
        <v>0.44290704266221281</v>
      </c>
    </row>
    <row r="456" spans="1:14">
      <c r="A456" s="258" t="s">
        <v>142</v>
      </c>
      <c r="B456" s="278">
        <f>'Ind T6'!Q188</f>
        <v>1.8383701763898876</v>
      </c>
      <c r="C456" s="275" t="str">
        <f>CONCATENATE("(",ROUND((B456/$H457)*100,1),")")</f>
        <v>(16.3)</v>
      </c>
      <c r="D456" s="278">
        <f>'Ind T6'!R188</f>
        <v>2.9088604577464494</v>
      </c>
      <c r="E456" s="275" t="str">
        <f>CONCATENATE("(",ROUND((D456/$H457)*100,1),")")</f>
        <v>(25.8)</v>
      </c>
      <c r="F456" s="278">
        <f>'Ind T6'!S188</f>
        <v>0.80669261616685128</v>
      </c>
      <c r="G456" s="275" t="str">
        <f>CONCATENATE("(",ROUND((F456/$H457)*100,1),")")</f>
        <v>(7.1)</v>
      </c>
      <c r="H456" s="278">
        <f t="shared" ref="H456" si="340">SUM(B456,D456,F456)</f>
        <v>5.553923250303189</v>
      </c>
      <c r="I456" s="275" t="str">
        <f>CONCATENATE("(",ROUND((H456/$H457)*100,1),")")</f>
        <v>(49.2)</v>
      </c>
      <c r="K456" s="278">
        <f t="shared" ref="K456:K457" si="341">B461-B456</f>
        <v>-1.0467222125182918E-2</v>
      </c>
      <c r="L456" s="278">
        <f t="shared" ref="L456:L457" si="342">D461-D456</f>
        <v>0.16271923782872921</v>
      </c>
      <c r="M456" s="278">
        <f t="shared" ref="M456:M457" si="343">F461-F456</f>
        <v>7.2840941634228606E-2</v>
      </c>
      <c r="N456" s="278">
        <f t="shared" ref="N456:N457" si="344">SUM(K456:M456)</f>
        <v>0.2250929573377749</v>
      </c>
    </row>
    <row r="457" spans="1:14">
      <c r="A457" s="258" t="s">
        <v>143</v>
      </c>
      <c r="B457" s="278">
        <f>SUM(B455:B456)</f>
        <v>4.0136540986045359</v>
      </c>
      <c r="C457" s="275" t="str">
        <f>CONCATENATE("(",ROUND((B457/$H457)*100,1),")")</f>
        <v>(35.6)</v>
      </c>
      <c r="D457" s="278">
        <f>SUM(D455:D456)</f>
        <v>4.630631421845921</v>
      </c>
      <c r="E457" s="275" t="str">
        <f>CONCATENATE("(",ROUND((D457/$H457)*100,1),")")</f>
        <v>(41)</v>
      </c>
      <c r="F457" s="278">
        <f>SUM(F455:F456)</f>
        <v>2.6407144795495516</v>
      </c>
      <c r="G457" s="275" t="str">
        <f>CONCATENATE("(",ROUND((F457/$H457)*100,1),")")</f>
        <v>(23.4)</v>
      </c>
      <c r="H457" s="278">
        <f>SUM(H455:H456)</f>
        <v>11.285000000000009</v>
      </c>
      <c r="I457" s="275" t="str">
        <f>CONCATENATE("(",ROUND((H457/$H457)*100,1),")")</f>
        <v>(100)</v>
      </c>
      <c r="K457" s="278">
        <f t="shared" si="341"/>
        <v>0.13693934612853198</v>
      </c>
      <c r="L457" s="278">
        <f t="shared" si="342"/>
        <v>0.343117271957321</v>
      </c>
      <c r="M457" s="278">
        <f t="shared" si="343"/>
        <v>0.18794338191413429</v>
      </c>
      <c r="N457" s="278">
        <f t="shared" si="344"/>
        <v>0.66799999999998727</v>
      </c>
    </row>
    <row r="458" spans="1:14">
      <c r="B458" s="278"/>
      <c r="C458" s="260"/>
      <c r="D458" s="278"/>
      <c r="E458" s="260"/>
      <c r="F458" s="278"/>
      <c r="G458" s="260"/>
      <c r="H458" s="278"/>
      <c r="I458" s="260"/>
    </row>
    <row r="459" spans="1:14">
      <c r="A459" s="268">
        <f>$A$18</f>
        <v>2035</v>
      </c>
      <c r="B459" s="278"/>
      <c r="C459" s="260"/>
      <c r="D459" s="278"/>
      <c r="E459" s="260"/>
      <c r="F459" s="278"/>
      <c r="G459" s="260"/>
      <c r="H459" s="278"/>
      <c r="I459" s="260"/>
      <c r="K459" s="262" t="str">
        <f>CONCATENATE(A449," - ",A459)</f>
        <v>2020 - 2035</v>
      </c>
    </row>
    <row r="460" spans="1:14">
      <c r="A460" s="258" t="s">
        <v>141</v>
      </c>
      <c r="B460" s="278">
        <f>'Ind T6'!V189</f>
        <v>2.322690490468363</v>
      </c>
      <c r="C460" s="275" t="str">
        <f>CONCATENATE("(",ROUND((B460/$H462)*100,1),")")</f>
        <v>(19.4)</v>
      </c>
      <c r="D460" s="278">
        <f>'Ind T6'!W189</f>
        <v>1.9021689982280636</v>
      </c>
      <c r="E460" s="275" t="str">
        <f>CONCATENATE("(",ROUND((D460/$H462)*100,1),")")</f>
        <v>(15.9)</v>
      </c>
      <c r="F460" s="278">
        <f>'Ind T6'!X189</f>
        <v>1.9491243036626058</v>
      </c>
      <c r="G460" s="275" t="str">
        <f>CONCATENATE("(",ROUND((F460/$H462)*100,1),")")</f>
        <v>(16.3)</v>
      </c>
      <c r="H460" s="278">
        <f>SUM(B460,D460,F460)</f>
        <v>6.1739837923590324</v>
      </c>
      <c r="I460" s="275" t="str">
        <f>CONCATENATE("(",ROUND((H460/$H462)*100,1),")")</f>
        <v>(51.7)</v>
      </c>
      <c r="K460" s="278">
        <f>B460-B450</f>
        <v>0.11013326448897809</v>
      </c>
      <c r="L460" s="278">
        <f>D460-D450</f>
        <v>0.20678968883164361</v>
      </c>
      <c r="M460" s="278">
        <f>F460-F450</f>
        <v>-0.12831008130477506</v>
      </c>
      <c r="N460" s="278">
        <f>SUM(K460:M460)</f>
        <v>0.18861287201584664</v>
      </c>
    </row>
    <row r="461" spans="1:14">
      <c r="A461" s="258" t="s">
        <v>142</v>
      </c>
      <c r="B461" s="278">
        <f>'Ind T6'!V188</f>
        <v>1.8279029542647047</v>
      </c>
      <c r="C461" s="275" t="str">
        <f>CONCATENATE("(",ROUND((B461/$H462)*100,1),")")</f>
        <v>(15.3)</v>
      </c>
      <c r="D461" s="278">
        <f>'Ind T6'!W188</f>
        <v>3.0715796955751786</v>
      </c>
      <c r="E461" s="275" t="str">
        <f>CONCATENATE("(",ROUND((D461/$H462)*100,1),")")</f>
        <v>(25.7)</v>
      </c>
      <c r="F461" s="278">
        <f>'Ind T6'!X188</f>
        <v>0.87953355780107989</v>
      </c>
      <c r="G461" s="275" t="str">
        <f>CONCATENATE("(",ROUND((F461/$H462)*100,1),")")</f>
        <v>(7.4)</v>
      </c>
      <c r="H461" s="278">
        <f t="shared" ref="H461" si="345">SUM(B461,D461,F461)</f>
        <v>5.7790162076409626</v>
      </c>
      <c r="I461" s="275" t="str">
        <f>CONCATENATE("(",ROUND((H461/$H462)*100,1),")")</f>
        <v>(48.3)</v>
      </c>
      <c r="K461" s="278">
        <f t="shared" ref="K461:K462" si="346">B461-B451</f>
        <v>-0.17261291185999839</v>
      </c>
      <c r="L461" s="278">
        <f t="shared" ref="L461:L462" si="347">D461-D451</f>
        <v>0.1091858583036589</v>
      </c>
      <c r="M461" s="278">
        <f t="shared" ref="M461:M462" si="348">F461-F451</f>
        <v>-8.2185818459508675E-2</v>
      </c>
      <c r="N461" s="278">
        <f t="shared" ref="N461:N462" si="349">SUM(K461:M461)</f>
        <v>-0.14561287201584816</v>
      </c>
    </row>
    <row r="462" spans="1:14">
      <c r="A462" s="258" t="s">
        <v>143</v>
      </c>
      <c r="B462" s="278">
        <f>SUM(B460:B461)</f>
        <v>4.1505934447330679</v>
      </c>
      <c r="C462" s="275" t="str">
        <f>CONCATENATE("(",ROUND((B462/$H462)*100,1),")")</f>
        <v>(34.7)</v>
      </c>
      <c r="D462" s="278">
        <f>SUM(D460:D461)</f>
        <v>4.973748693803242</v>
      </c>
      <c r="E462" s="275" t="str">
        <f>CONCATENATE("(",ROUND((D462/$H462)*100,1),")")</f>
        <v>(41.6)</v>
      </c>
      <c r="F462" s="278">
        <f>SUM(F460:F461)</f>
        <v>2.8286578614636859</v>
      </c>
      <c r="G462" s="275" t="str">
        <f>CONCATENATE("(",ROUND((F462/$H462)*100,1),")")</f>
        <v>(23.7)</v>
      </c>
      <c r="H462" s="278">
        <f>SUM(H460:H461)</f>
        <v>11.952999999999996</v>
      </c>
      <c r="I462" s="275" t="str">
        <f>CONCATENATE("(",ROUND((H462/$H462)*100,1),")")</f>
        <v>(100)</v>
      </c>
      <c r="K462" s="278">
        <f t="shared" si="346"/>
        <v>-6.2479647371019631E-2</v>
      </c>
      <c r="L462" s="278">
        <f t="shared" si="347"/>
        <v>0.31597554713530229</v>
      </c>
      <c r="M462" s="278">
        <f t="shared" si="348"/>
        <v>-0.2104958997642834</v>
      </c>
      <c r="N462" s="278">
        <f t="shared" si="349"/>
        <v>4.2999999999999261E-2</v>
      </c>
    </row>
    <row r="463" spans="1:14">
      <c r="A463" s="269"/>
      <c r="B463" s="270"/>
      <c r="C463" s="269"/>
      <c r="D463" s="270"/>
      <c r="E463" s="269"/>
      <c r="F463" s="270"/>
      <c r="G463" s="269"/>
      <c r="H463" s="270"/>
      <c r="I463" s="269"/>
      <c r="J463" s="269"/>
      <c r="K463" s="270"/>
      <c r="L463" s="270"/>
      <c r="M463" s="270"/>
      <c r="N463" s="270"/>
    </row>
    <row r="466" spans="1:14">
      <c r="C466" s="159"/>
      <c r="E466" s="159"/>
      <c r="G466" s="159"/>
      <c r="I466" s="159"/>
    </row>
    <row r="467" spans="1:14">
      <c r="A467" s="264"/>
      <c r="B467" s="265" t="s">
        <v>130</v>
      </c>
      <c r="C467" s="264"/>
      <c r="D467" s="265"/>
      <c r="E467" s="264"/>
      <c r="F467" s="265" t="str">
        <f>name!B25</f>
        <v>Other services</v>
      </c>
      <c r="G467" s="264"/>
      <c r="H467" s="267"/>
      <c r="I467" s="264"/>
      <c r="J467" s="266"/>
      <c r="K467" s="267"/>
      <c r="L467" s="267"/>
      <c r="M467" s="267"/>
      <c r="N467" s="267"/>
    </row>
    <row r="468" spans="1:14">
      <c r="N468" s="263" t="s">
        <v>131</v>
      </c>
    </row>
    <row r="469" spans="1:14">
      <c r="A469" s="159" t="s">
        <v>132</v>
      </c>
      <c r="B469" s="344" t="s">
        <v>133</v>
      </c>
      <c r="C469" s="344"/>
      <c r="D469" s="344" t="s">
        <v>134</v>
      </c>
      <c r="E469" s="344"/>
      <c r="F469" s="344" t="s">
        <v>135</v>
      </c>
      <c r="G469" s="344"/>
      <c r="H469" s="344" t="s">
        <v>117</v>
      </c>
      <c r="I469" s="344"/>
      <c r="J469" s="159"/>
      <c r="K469" s="273" t="s">
        <v>136</v>
      </c>
      <c r="L469" s="273" t="s">
        <v>137</v>
      </c>
      <c r="M469" s="273" t="s">
        <v>138</v>
      </c>
      <c r="N469" s="273" t="s">
        <v>117</v>
      </c>
    </row>
    <row r="470" spans="1:14">
      <c r="A470" s="268">
        <f>$A$8</f>
        <v>2020</v>
      </c>
      <c r="B470" s="263" t="s">
        <v>139</v>
      </c>
      <c r="C470" s="19" t="s">
        <v>140</v>
      </c>
      <c r="D470" s="263" t="s">
        <v>139</v>
      </c>
      <c r="E470" s="19" t="s">
        <v>140</v>
      </c>
      <c r="F470" s="263" t="s">
        <v>139</v>
      </c>
      <c r="G470" s="19" t="s">
        <v>140</v>
      </c>
      <c r="H470" s="263" t="s">
        <v>139</v>
      </c>
      <c r="I470" s="19" t="s">
        <v>140</v>
      </c>
      <c r="J470" s="159"/>
      <c r="K470" s="262" t="str">
        <f>CONCATENATE(A470," - ",A475)</f>
        <v>2020 - 2025</v>
      </c>
      <c r="L470" s="261"/>
      <c r="M470" s="261"/>
    </row>
    <row r="471" spans="1:14">
      <c r="A471" s="258" t="s">
        <v>141</v>
      </c>
      <c r="B471" s="278">
        <f>'Ind T6'!L198</f>
        <v>2.6398258980854208</v>
      </c>
      <c r="C471" s="275" t="str">
        <f>CONCATENATE("(",ROUND((B471/$H473)*100,1),")")</f>
        <v>(20.4)</v>
      </c>
      <c r="D471" s="278">
        <f>'Ind T6'!M198</f>
        <v>1.138433289367377</v>
      </c>
      <c r="E471" s="275" t="str">
        <f>CONCATENATE("(",ROUND((D471/$H473)*100,1),")")</f>
        <v>(8.8)</v>
      </c>
      <c r="F471" s="278">
        <f>'Ind T6'!N198</f>
        <v>0.67870714047960645</v>
      </c>
      <c r="G471" s="275" t="str">
        <f>CONCATENATE("(",ROUND((F471/$H473)*100,1),")")</f>
        <v>(5.2)</v>
      </c>
      <c r="H471" s="278">
        <f>SUM(B471,D471,F471)</f>
        <v>4.4569663279324043</v>
      </c>
      <c r="I471" s="275" t="str">
        <f>CONCATENATE("(",ROUND((H471/$H473)*100,1),")")</f>
        <v>(34.4)</v>
      </c>
      <c r="K471" s="278">
        <f>B476-B471</f>
        <v>1.7674168183122951E-2</v>
      </c>
      <c r="L471" s="278">
        <f>D476-D471</f>
        <v>-3.2839767160400379E-2</v>
      </c>
      <c r="M471" s="278">
        <f>F476-F471</f>
        <v>3.7909909676131504E-3</v>
      </c>
      <c r="N471" s="278">
        <f>SUM(K471:M471)</f>
        <v>-1.1374608009664278E-2</v>
      </c>
    </row>
    <row r="472" spans="1:14">
      <c r="A472" s="258" t="s">
        <v>142</v>
      </c>
      <c r="B472" s="278">
        <f>'Ind T6'!L197</f>
        <v>2.9862109679900359</v>
      </c>
      <c r="C472" s="275" t="str">
        <f>CONCATENATE("(",ROUND((B472/$H473)*100,1),")")</f>
        <v>(23.1)</v>
      </c>
      <c r="D472" s="278">
        <f>'Ind T6'!M197</f>
        <v>2.5062274032067062</v>
      </c>
      <c r="E472" s="275" t="str">
        <f>CONCATENATE("(",ROUND((D472/$H473)*100,1),")")</f>
        <v>(19.4)</v>
      </c>
      <c r="F472" s="278">
        <f>'Ind T6'!N197</f>
        <v>2.9975953008708669</v>
      </c>
      <c r="G472" s="275" t="str">
        <f>CONCATENATE("(",ROUND((F472/$H473)*100,1),")")</f>
        <v>(23.2)</v>
      </c>
      <c r="H472" s="278">
        <f t="shared" ref="H472" si="350">SUM(B472,D472,F472)</f>
        <v>8.4900336720676091</v>
      </c>
      <c r="I472" s="275" t="str">
        <f>CONCATENATE("(",ROUND((H472/$H473)*100,1),")")</f>
        <v>(65.6)</v>
      </c>
      <c r="K472" s="278">
        <f t="shared" ref="K472:K473" si="351">B477-B472</f>
        <v>-0.16652155134651547</v>
      </c>
      <c r="L472" s="278">
        <f t="shared" ref="L472:L473" si="352">D477-D472</f>
        <v>-9.8275111901577894E-2</v>
      </c>
      <c r="M472" s="278">
        <f t="shared" ref="M472:M473" si="353">F477-F472</f>
        <v>-6.682872874225243E-2</v>
      </c>
      <c r="N472" s="278">
        <f t="shared" ref="N472:N473" si="354">SUM(K472:M472)</f>
        <v>-0.3316253919903458</v>
      </c>
    </row>
    <row r="473" spans="1:14">
      <c r="A473" s="258" t="s">
        <v>143</v>
      </c>
      <c r="B473" s="278">
        <f>SUM(B471:B472)</f>
        <v>5.6260368660754567</v>
      </c>
      <c r="C473" s="275" t="str">
        <f>CONCATENATE("(",ROUND((B473/$H473)*100,1),")")</f>
        <v>(43.5)</v>
      </c>
      <c r="D473" s="278">
        <f>SUM(D471:D472)</f>
        <v>3.6446606925740834</v>
      </c>
      <c r="E473" s="275" t="str">
        <f>CONCATENATE("(",ROUND((D473/$H473)*100,1),")")</f>
        <v>(28.2)</v>
      </c>
      <c r="F473" s="278">
        <f>SUM(F471:F472)</f>
        <v>3.6763024413504732</v>
      </c>
      <c r="G473" s="275" t="str">
        <f>CONCATENATE("(",ROUND((F473/$H473)*100,1),")")</f>
        <v>(28.4)</v>
      </c>
      <c r="H473" s="278">
        <f>SUM(H471:H472)</f>
        <v>12.947000000000013</v>
      </c>
      <c r="I473" s="275" t="str">
        <f>CONCATENATE("(",ROUND((H473/$H473)*100,1),")")</f>
        <v>(100)</v>
      </c>
      <c r="K473" s="278">
        <f t="shared" si="351"/>
        <v>-0.14884738316339252</v>
      </c>
      <c r="L473" s="278">
        <f t="shared" si="352"/>
        <v>-0.1311148790619785</v>
      </c>
      <c r="M473" s="278">
        <f t="shared" si="353"/>
        <v>-6.3037737774639169E-2</v>
      </c>
      <c r="N473" s="278">
        <f t="shared" si="354"/>
        <v>-0.34300000000001019</v>
      </c>
    </row>
    <row r="474" spans="1:14">
      <c r="B474" s="278"/>
      <c r="C474" s="260"/>
      <c r="D474" s="278"/>
      <c r="E474" s="260"/>
      <c r="F474" s="278"/>
      <c r="G474" s="260"/>
      <c r="H474" s="278"/>
      <c r="I474" s="260"/>
    </row>
    <row r="475" spans="1:14">
      <c r="A475" s="268">
        <f>$A$13</f>
        <v>2025</v>
      </c>
      <c r="B475" s="278"/>
      <c r="C475" s="260"/>
      <c r="D475" s="278"/>
      <c r="E475" s="260"/>
      <c r="F475" s="278"/>
      <c r="G475" s="260"/>
      <c r="H475" s="278"/>
      <c r="I475" s="260"/>
      <c r="K475" s="262" t="str">
        <f>CONCATENATE(A475," - ",A480)</f>
        <v>2025 - 2035</v>
      </c>
    </row>
    <row r="476" spans="1:14">
      <c r="A476" s="258" t="s">
        <v>141</v>
      </c>
      <c r="B476" s="278">
        <f>'Ind T6'!Q198</f>
        <v>2.6575000662685437</v>
      </c>
      <c r="C476" s="275" t="str">
        <f>CONCATENATE("(",ROUND((B476/$H478)*100,1),")")</f>
        <v>(21.1)</v>
      </c>
      <c r="D476" s="278">
        <f>'Ind T6'!R198</f>
        <v>1.1055935222069766</v>
      </c>
      <c r="E476" s="275" t="str">
        <f>CONCATENATE("(",ROUND((D476/$H478)*100,1),")")</f>
        <v>(8.8)</v>
      </c>
      <c r="F476" s="278">
        <f>'Ind T6'!S198</f>
        <v>0.6824981314472196</v>
      </c>
      <c r="G476" s="275" t="str">
        <f>CONCATENATE("(",ROUND((F476/$H478)*100,1),")")</f>
        <v>(5.4)</v>
      </c>
      <c r="H476" s="278">
        <f>SUM(B476,D476,F476)</f>
        <v>4.4455917199227404</v>
      </c>
      <c r="I476" s="275" t="str">
        <f>CONCATENATE("(",ROUND((H476/$H478)*100,1),")")</f>
        <v>(35.3)</v>
      </c>
      <c r="K476" s="278">
        <f>B481-B476</f>
        <v>0.14500682789793817</v>
      </c>
      <c r="L476" s="278">
        <f>D481-D476</f>
        <v>1.086724727497046E-2</v>
      </c>
      <c r="M476" s="278">
        <f>F481-F476</f>
        <v>3.4367869699439835E-2</v>
      </c>
      <c r="N476" s="278">
        <f>SUM(K476:M476)</f>
        <v>0.19024194487234847</v>
      </c>
    </row>
    <row r="477" spans="1:14">
      <c r="A477" s="258" t="s">
        <v>142</v>
      </c>
      <c r="B477" s="278">
        <f>'Ind T6'!Q197</f>
        <v>2.8196894166435205</v>
      </c>
      <c r="C477" s="275" t="str">
        <f>CONCATENATE("(",ROUND((B477/$H478)*100,1),")")</f>
        <v>(22.4)</v>
      </c>
      <c r="D477" s="278">
        <f>'Ind T6'!R197</f>
        <v>2.4079522913051283</v>
      </c>
      <c r="E477" s="275" t="str">
        <f>CONCATENATE("(",ROUND((D477/$H478)*100,1),")")</f>
        <v>(19.1)</v>
      </c>
      <c r="F477" s="278">
        <f>'Ind T6'!S197</f>
        <v>2.9307665721286145</v>
      </c>
      <c r="G477" s="275" t="str">
        <f>CONCATENATE("(",ROUND((F477/$H478)*100,1),")")</f>
        <v>(23.3)</v>
      </c>
      <c r="H477" s="278">
        <f t="shared" ref="H477" si="355">SUM(B477,D477,F477)</f>
        <v>8.1584082800772642</v>
      </c>
      <c r="I477" s="275" t="str">
        <f>CONCATENATE("(",ROUND((H477/$H478)*100,1),")")</f>
        <v>(64.7)</v>
      </c>
      <c r="K477" s="278">
        <f t="shared" ref="K477:K478" si="356">B482-B477</f>
        <v>-0.11052705881603408</v>
      </c>
      <c r="L477" s="278">
        <f t="shared" ref="L477:L478" si="357">D482-D477</f>
        <v>-6.1815017706559505E-2</v>
      </c>
      <c r="M477" s="278">
        <f t="shared" ref="M477:M478" si="358">F482-F477</f>
        <v>-2.6899868349774092E-2</v>
      </c>
      <c r="N477" s="278">
        <f t="shared" ref="N477:N478" si="359">SUM(K477:M477)</f>
        <v>-0.19924194487236768</v>
      </c>
    </row>
    <row r="478" spans="1:14">
      <c r="A478" s="258" t="s">
        <v>143</v>
      </c>
      <c r="B478" s="278">
        <f>SUM(B476:B477)</f>
        <v>5.4771894829120642</v>
      </c>
      <c r="C478" s="275" t="str">
        <f>CONCATENATE("(",ROUND((B478/$H478)*100,1),")")</f>
        <v>(43.5)</v>
      </c>
      <c r="D478" s="278">
        <f>SUM(D476:D477)</f>
        <v>3.5135458135121049</v>
      </c>
      <c r="E478" s="275" t="str">
        <f>CONCATENATE("(",ROUND((D478/$H478)*100,1),")")</f>
        <v>(27.9)</v>
      </c>
      <c r="F478" s="278">
        <f>SUM(F476:F477)</f>
        <v>3.6132647035758341</v>
      </c>
      <c r="G478" s="275" t="str">
        <f>CONCATENATE("(",ROUND((F478/$H478)*100,1),")")</f>
        <v>(28.7)</v>
      </c>
      <c r="H478" s="278">
        <f>SUM(H476:H477)</f>
        <v>12.604000000000005</v>
      </c>
      <c r="I478" s="275" t="str">
        <f>CONCATENATE("(",ROUND((H478/$H478)*100,1),")")</f>
        <v>(100)</v>
      </c>
      <c r="K478" s="278">
        <f t="shared" si="356"/>
        <v>3.4479769081904088E-2</v>
      </c>
      <c r="L478" s="278">
        <f t="shared" si="357"/>
        <v>-5.0947770431589046E-2</v>
      </c>
      <c r="M478" s="278">
        <f t="shared" si="358"/>
        <v>7.4680013496655206E-3</v>
      </c>
      <c r="N478" s="278">
        <f t="shared" si="359"/>
        <v>-9.0000000000194369E-3</v>
      </c>
    </row>
    <row r="479" spans="1:14">
      <c r="B479" s="278"/>
      <c r="C479" s="260"/>
      <c r="D479" s="278"/>
      <c r="E479" s="260"/>
      <c r="F479" s="278"/>
      <c r="G479" s="260"/>
      <c r="H479" s="278"/>
      <c r="I479" s="260"/>
    </row>
    <row r="480" spans="1:14">
      <c r="A480" s="268">
        <f>$A$18</f>
        <v>2035</v>
      </c>
      <c r="B480" s="278"/>
      <c r="C480" s="260"/>
      <c r="D480" s="278"/>
      <c r="E480" s="260"/>
      <c r="F480" s="278"/>
      <c r="G480" s="260"/>
      <c r="H480" s="278"/>
      <c r="I480" s="260"/>
      <c r="K480" s="262" t="str">
        <f>CONCATENATE(A470," - ",A480)</f>
        <v>2020 - 2035</v>
      </c>
    </row>
    <row r="481" spans="1:14">
      <c r="A481" s="258" t="s">
        <v>141</v>
      </c>
      <c r="B481" s="278">
        <f>'Ind T6'!V198</f>
        <v>2.8025068941664819</v>
      </c>
      <c r="C481" s="275" t="str">
        <f>CONCATENATE("(",ROUND((B481/$H483)*100,1),")")</f>
        <v>(22.3)</v>
      </c>
      <c r="D481" s="278">
        <f>'Ind T6'!W198</f>
        <v>1.1164607694819471</v>
      </c>
      <c r="E481" s="275" t="str">
        <f>CONCATENATE("(",ROUND((D481/$H483)*100,1),")")</f>
        <v>(8.9)</v>
      </c>
      <c r="F481" s="278">
        <f>'Ind T6'!X198</f>
        <v>0.71686600114665944</v>
      </c>
      <c r="G481" s="275" t="str">
        <f>CONCATENATE("(",ROUND((F481/$H483)*100,1),")")</f>
        <v>(5.7)</v>
      </c>
      <c r="H481" s="278">
        <f>SUM(B481,D481,F481)</f>
        <v>4.6358336647950882</v>
      </c>
      <c r="I481" s="275" t="str">
        <f>CONCATENATE("(",ROUND((H481/$H483)*100,1),")")</f>
        <v>(36.8)</v>
      </c>
      <c r="K481" s="278">
        <f>B481-B471</f>
        <v>0.16268099608106112</v>
      </c>
      <c r="L481" s="278">
        <f>D481-D471</f>
        <v>-2.197251988542992E-2</v>
      </c>
      <c r="M481" s="278">
        <f>F481-F471</f>
        <v>3.8158860667052985E-2</v>
      </c>
      <c r="N481" s="278">
        <f>SUM(K481:M481)</f>
        <v>0.17886733686268419</v>
      </c>
    </row>
    <row r="482" spans="1:14">
      <c r="A482" s="258" t="s">
        <v>142</v>
      </c>
      <c r="B482" s="278">
        <f>'Ind T6'!V197</f>
        <v>2.7091623578274864</v>
      </c>
      <c r="C482" s="275" t="str">
        <f>CONCATENATE("(",ROUND((B482/$H483)*100,1),")")</f>
        <v>(21.5)</v>
      </c>
      <c r="D482" s="278">
        <f>'Ind T6'!W197</f>
        <v>2.3461372735985688</v>
      </c>
      <c r="E482" s="275" t="str">
        <f>CONCATENATE("(",ROUND((D482/$H483)*100,1),")")</f>
        <v>(18.6)</v>
      </c>
      <c r="F482" s="278">
        <f>'Ind T6'!X197</f>
        <v>2.9038667037788404</v>
      </c>
      <c r="G482" s="275" t="str">
        <f>CONCATENATE("(",ROUND((F482/$H483)*100,1),")")</f>
        <v>(23.1)</v>
      </c>
      <c r="H482" s="278">
        <f t="shared" ref="H482" si="360">SUM(B482,D482,F482)</f>
        <v>7.9591663352048956</v>
      </c>
      <c r="I482" s="275" t="str">
        <f>CONCATENATE("(",ROUND((H482/$H483)*100,1),")")</f>
        <v>(63.2)</v>
      </c>
      <c r="K482" s="278">
        <f t="shared" ref="K482:K483" si="361">B482-B472</f>
        <v>-0.27704861016254956</v>
      </c>
      <c r="L482" s="278">
        <f t="shared" ref="L482:L483" si="362">D482-D472</f>
        <v>-0.1600901296081374</v>
      </c>
      <c r="M482" s="278">
        <f t="shared" ref="M482:M483" si="363">F482-F472</f>
        <v>-9.3728597092026522E-2</v>
      </c>
      <c r="N482" s="278">
        <f t="shared" ref="N482:N483" si="364">SUM(K482:M482)</f>
        <v>-0.53086733686271348</v>
      </c>
    </row>
    <row r="483" spans="1:14">
      <c r="A483" s="258" t="s">
        <v>143</v>
      </c>
      <c r="B483" s="278">
        <f>SUM(B481:B482)</f>
        <v>5.5116692519939683</v>
      </c>
      <c r="C483" s="275" t="str">
        <f>CONCATENATE("(",ROUND((B483/$H483)*100,1),")")</f>
        <v>(43.8)</v>
      </c>
      <c r="D483" s="278">
        <f>SUM(D481:D482)</f>
        <v>3.4625980430805159</v>
      </c>
      <c r="E483" s="275" t="str">
        <f>CONCATENATE("(",ROUND((D483/$H483)*100,1),")")</f>
        <v>(27.5)</v>
      </c>
      <c r="F483" s="278">
        <f>SUM(F481:F482)</f>
        <v>3.6207327049254996</v>
      </c>
      <c r="G483" s="275" t="str">
        <f>CONCATENATE("(",ROUND((F483/$H483)*100,1),")")</f>
        <v>(28.7)</v>
      </c>
      <c r="H483" s="278">
        <f>SUM(H481:H482)</f>
        <v>12.594999999999985</v>
      </c>
      <c r="I483" s="275" t="str">
        <f>CONCATENATE("(",ROUND((H483/$H483)*100,1),")")</f>
        <v>(100)</v>
      </c>
      <c r="K483" s="278">
        <f t="shared" si="361"/>
        <v>-0.11436761408148843</v>
      </c>
      <c r="L483" s="278">
        <f t="shared" si="362"/>
        <v>-0.18206264949356754</v>
      </c>
      <c r="M483" s="278">
        <f t="shared" si="363"/>
        <v>-5.5569736424973648E-2</v>
      </c>
      <c r="N483" s="278">
        <f t="shared" si="364"/>
        <v>-0.35200000000002962</v>
      </c>
    </row>
    <row r="484" spans="1:14">
      <c r="A484" s="269"/>
      <c r="B484" s="270"/>
      <c r="C484" s="269"/>
      <c r="D484" s="270"/>
      <c r="E484" s="269"/>
      <c r="F484" s="270"/>
      <c r="G484" s="269"/>
      <c r="H484" s="270"/>
      <c r="I484" s="269"/>
      <c r="J484" s="269"/>
      <c r="K484" s="270"/>
      <c r="L484" s="270"/>
      <c r="M484" s="270"/>
      <c r="N484" s="270"/>
    </row>
    <row r="488" spans="1:14">
      <c r="A488" s="159"/>
      <c r="B488" s="261"/>
      <c r="C488" s="159"/>
      <c r="D488" s="261"/>
      <c r="E488" s="159"/>
      <c r="F488" s="261"/>
      <c r="G488" s="159"/>
      <c r="I488" s="159"/>
    </row>
    <row r="489" spans="1:14">
      <c r="N489" s="263"/>
    </row>
    <row r="490" spans="1:14">
      <c r="A490" s="159"/>
      <c r="B490" s="344"/>
      <c r="C490" s="344"/>
      <c r="D490" s="344"/>
      <c r="E490" s="344"/>
      <c r="F490" s="344"/>
      <c r="G490" s="344"/>
      <c r="H490" s="344"/>
      <c r="I490" s="344"/>
      <c r="J490" s="159"/>
      <c r="K490" s="263"/>
      <c r="L490" s="263"/>
      <c r="M490" s="263"/>
      <c r="N490" s="263"/>
    </row>
    <row r="491" spans="1:14">
      <c r="A491" s="268"/>
      <c r="B491" s="263"/>
      <c r="C491" s="19"/>
      <c r="D491" s="263"/>
      <c r="E491" s="19"/>
      <c r="F491" s="263"/>
      <c r="G491" s="19"/>
      <c r="H491" s="263"/>
      <c r="I491" s="19"/>
      <c r="J491" s="159"/>
      <c r="K491" s="262"/>
      <c r="L491" s="261"/>
      <c r="M491" s="261"/>
    </row>
    <row r="492" spans="1:14">
      <c r="B492" s="225"/>
      <c r="C492" s="260"/>
      <c r="D492" s="225"/>
      <c r="E492" s="260"/>
      <c r="F492" s="225"/>
      <c r="G492" s="260"/>
      <c r="H492" s="225"/>
      <c r="I492" s="260"/>
      <c r="K492" s="225"/>
      <c r="L492" s="225"/>
      <c r="M492" s="225"/>
      <c r="N492" s="225"/>
    </row>
    <row r="493" spans="1:14">
      <c r="B493" s="225"/>
      <c r="C493" s="260"/>
      <c r="D493" s="225"/>
      <c r="E493" s="260"/>
      <c r="F493" s="225"/>
      <c r="G493" s="260"/>
      <c r="H493" s="225"/>
      <c r="I493" s="260"/>
      <c r="K493" s="225"/>
      <c r="L493" s="225"/>
      <c r="M493" s="225"/>
      <c r="N493" s="225"/>
    </row>
    <row r="494" spans="1:14">
      <c r="B494" s="225"/>
      <c r="C494" s="260"/>
      <c r="D494" s="225"/>
      <c r="E494" s="260"/>
      <c r="F494" s="225"/>
      <c r="G494" s="260"/>
      <c r="H494" s="225"/>
      <c r="I494" s="260"/>
      <c r="K494" s="225"/>
      <c r="L494" s="225"/>
      <c r="M494" s="225"/>
      <c r="N494" s="225"/>
    </row>
    <row r="495" spans="1:14">
      <c r="B495" s="225"/>
      <c r="C495" s="260"/>
      <c r="D495" s="225"/>
      <c r="E495" s="260"/>
      <c r="F495" s="225"/>
      <c r="G495" s="260"/>
      <c r="H495" s="225"/>
      <c r="I495" s="260"/>
    </row>
    <row r="496" spans="1:14">
      <c r="A496" s="268"/>
      <c r="B496" s="225"/>
      <c r="C496" s="260"/>
      <c r="D496" s="225"/>
      <c r="E496" s="260"/>
      <c r="F496" s="225"/>
      <c r="G496" s="260"/>
      <c r="H496" s="225"/>
      <c r="I496" s="260"/>
      <c r="K496" s="261"/>
    </row>
    <row r="497" spans="1:14">
      <c r="B497" s="225"/>
      <c r="C497" s="260"/>
      <c r="D497" s="225"/>
      <c r="E497" s="260"/>
      <c r="F497" s="225"/>
      <c r="G497" s="260"/>
      <c r="H497" s="225"/>
      <c r="I497" s="260"/>
      <c r="K497" s="225"/>
      <c r="L497" s="225"/>
      <c r="M497" s="225"/>
      <c r="N497" s="225"/>
    </row>
    <row r="498" spans="1:14">
      <c r="B498" s="225"/>
      <c r="C498" s="260"/>
      <c r="D498" s="225"/>
      <c r="E498" s="260"/>
      <c r="F498" s="225"/>
      <c r="G498" s="260"/>
      <c r="H498" s="225"/>
      <c r="I498" s="260"/>
      <c r="K498" s="225"/>
      <c r="L498" s="225"/>
      <c r="M498" s="225"/>
      <c r="N498" s="225"/>
    </row>
    <row r="499" spans="1:14">
      <c r="B499" s="225"/>
      <c r="C499" s="260"/>
      <c r="D499" s="225"/>
      <c r="E499" s="260"/>
      <c r="F499" s="225"/>
      <c r="G499" s="260"/>
      <c r="H499" s="225"/>
      <c r="I499" s="260"/>
      <c r="K499" s="225"/>
      <c r="L499" s="225"/>
      <c r="M499" s="225"/>
      <c r="N499" s="225"/>
    </row>
    <row r="500" spans="1:14">
      <c r="B500" s="225"/>
      <c r="C500" s="260"/>
      <c r="D500" s="225"/>
      <c r="E500" s="260"/>
      <c r="F500" s="225"/>
      <c r="G500" s="260"/>
      <c r="H500" s="225"/>
      <c r="I500" s="260"/>
    </row>
    <row r="501" spans="1:14">
      <c r="A501" s="268"/>
      <c r="B501" s="225"/>
      <c r="C501" s="260"/>
      <c r="D501" s="225"/>
      <c r="E501" s="260"/>
      <c r="F501" s="225"/>
      <c r="G501" s="260"/>
      <c r="H501" s="225"/>
      <c r="I501" s="260"/>
      <c r="K501" s="261"/>
    </row>
    <row r="502" spans="1:14">
      <c r="B502" s="225"/>
      <c r="C502" s="260"/>
      <c r="D502" s="225"/>
      <c r="E502" s="260"/>
      <c r="F502" s="225"/>
      <c r="G502" s="260"/>
      <c r="H502" s="225"/>
      <c r="I502" s="260"/>
      <c r="K502" s="225"/>
      <c r="L502" s="225"/>
      <c r="M502" s="225"/>
      <c r="N502" s="225"/>
    </row>
    <row r="503" spans="1:14">
      <c r="B503" s="225"/>
      <c r="C503" s="260"/>
      <c r="D503" s="225"/>
      <c r="E503" s="260"/>
      <c r="F503" s="225"/>
      <c r="G503" s="260"/>
      <c r="H503" s="225"/>
      <c r="I503" s="260"/>
      <c r="K503" s="225"/>
      <c r="L503" s="225"/>
      <c r="M503" s="225"/>
      <c r="N503" s="225"/>
    </row>
    <row r="504" spans="1:14">
      <c r="B504" s="225"/>
      <c r="C504" s="260"/>
      <c r="D504" s="225"/>
      <c r="E504" s="260"/>
      <c r="F504" s="225"/>
      <c r="G504" s="260"/>
      <c r="H504" s="225"/>
      <c r="I504" s="260"/>
      <c r="K504" s="225"/>
      <c r="L504" s="225"/>
      <c r="M504" s="225"/>
      <c r="N504" s="225"/>
    </row>
    <row r="509" spans="1:14">
      <c r="A509" s="159"/>
      <c r="B509" s="261"/>
      <c r="C509" s="159"/>
      <c r="D509" s="261"/>
      <c r="E509" s="159"/>
      <c r="F509" s="261"/>
      <c r="G509" s="159"/>
      <c r="I509" s="159"/>
    </row>
    <row r="510" spans="1:14">
      <c r="N510" s="263"/>
    </row>
    <row r="511" spans="1:14">
      <c r="A511" s="159"/>
      <c r="B511" s="344"/>
      <c r="C511" s="344"/>
      <c r="D511" s="344"/>
      <c r="E511" s="344"/>
      <c r="F511" s="344"/>
      <c r="G511" s="344"/>
      <c r="H511" s="344"/>
      <c r="I511" s="344"/>
      <c r="J511" s="159"/>
      <c r="K511" s="263"/>
      <c r="L511" s="263"/>
      <c r="M511" s="263"/>
      <c r="N511" s="263"/>
    </row>
    <row r="512" spans="1:14">
      <c r="A512" s="268"/>
      <c r="B512" s="263"/>
      <c r="C512" s="19"/>
      <c r="D512" s="263"/>
      <c r="E512" s="19"/>
      <c r="F512" s="263"/>
      <c r="G512" s="19"/>
      <c r="H512" s="263"/>
      <c r="I512" s="19"/>
      <c r="J512" s="159"/>
      <c r="K512" s="262"/>
      <c r="L512" s="261"/>
      <c r="M512" s="261"/>
    </row>
    <row r="513" spans="1:14">
      <c r="B513" s="225"/>
      <c r="C513" s="260"/>
      <c r="D513" s="225"/>
      <c r="E513" s="260"/>
      <c r="F513" s="225"/>
      <c r="G513" s="260"/>
      <c r="H513" s="225"/>
      <c r="I513" s="260"/>
      <c r="K513" s="225"/>
      <c r="L513" s="225"/>
      <c r="M513" s="225"/>
      <c r="N513" s="225"/>
    </row>
    <row r="514" spans="1:14">
      <c r="B514" s="225"/>
      <c r="C514" s="260"/>
      <c r="D514" s="225"/>
      <c r="E514" s="260"/>
      <c r="F514" s="225"/>
      <c r="G514" s="260"/>
      <c r="H514" s="225"/>
      <c r="I514" s="260"/>
      <c r="K514" s="225"/>
      <c r="L514" s="225"/>
      <c r="M514" s="225"/>
      <c r="N514" s="225"/>
    </row>
    <row r="515" spans="1:14">
      <c r="B515" s="225"/>
      <c r="C515" s="260"/>
      <c r="D515" s="225"/>
      <c r="E515" s="260"/>
      <c r="F515" s="225"/>
      <c r="G515" s="260"/>
      <c r="H515" s="225"/>
      <c r="I515" s="260"/>
      <c r="K515" s="225"/>
      <c r="L515" s="225"/>
      <c r="M515" s="225"/>
      <c r="N515" s="225"/>
    </row>
    <row r="516" spans="1:14">
      <c r="B516" s="225"/>
      <c r="C516" s="260"/>
      <c r="D516" s="225"/>
      <c r="E516" s="260"/>
      <c r="F516" s="225"/>
      <c r="G516" s="260"/>
      <c r="H516" s="225"/>
      <c r="I516" s="260"/>
    </row>
    <row r="517" spans="1:14">
      <c r="A517" s="268"/>
      <c r="B517" s="225"/>
      <c r="C517" s="260"/>
      <c r="D517" s="225"/>
      <c r="E517" s="260"/>
      <c r="F517" s="225"/>
      <c r="G517" s="260"/>
      <c r="H517" s="225"/>
      <c r="I517" s="260"/>
      <c r="K517" s="261"/>
    </row>
    <row r="518" spans="1:14">
      <c r="B518" s="225"/>
      <c r="C518" s="260"/>
      <c r="D518" s="225"/>
      <c r="E518" s="260"/>
      <c r="F518" s="225"/>
      <c r="G518" s="260"/>
      <c r="H518" s="225"/>
      <c r="I518" s="260"/>
      <c r="K518" s="225"/>
      <c r="L518" s="225"/>
      <c r="M518" s="225"/>
      <c r="N518" s="225"/>
    </row>
    <row r="519" spans="1:14">
      <c r="B519" s="225"/>
      <c r="C519" s="260"/>
      <c r="D519" s="225"/>
      <c r="E519" s="260"/>
      <c r="F519" s="225"/>
      <c r="G519" s="260"/>
      <c r="H519" s="225"/>
      <c r="I519" s="260"/>
      <c r="K519" s="225"/>
      <c r="L519" s="225"/>
      <c r="M519" s="225"/>
      <c r="N519" s="225"/>
    </row>
    <row r="520" spans="1:14">
      <c r="B520" s="225"/>
      <c r="C520" s="260"/>
      <c r="D520" s="225"/>
      <c r="E520" s="260"/>
      <c r="F520" s="225"/>
      <c r="G520" s="260"/>
      <c r="H520" s="225"/>
      <c r="I520" s="260"/>
      <c r="K520" s="225"/>
      <c r="L520" s="225"/>
      <c r="M520" s="225"/>
      <c r="N520" s="225"/>
    </row>
    <row r="521" spans="1:14">
      <c r="B521" s="225"/>
      <c r="C521" s="260"/>
      <c r="D521" s="225"/>
      <c r="E521" s="260"/>
      <c r="F521" s="225"/>
      <c r="G521" s="260"/>
      <c r="H521" s="225"/>
      <c r="I521" s="260"/>
    </row>
    <row r="522" spans="1:14">
      <c r="A522" s="268"/>
      <c r="B522" s="225"/>
      <c r="C522" s="260"/>
      <c r="D522" s="225"/>
      <c r="E522" s="260"/>
      <c r="F522" s="225"/>
      <c r="G522" s="260"/>
      <c r="H522" s="225"/>
      <c r="I522" s="260"/>
      <c r="K522" s="261"/>
    </row>
    <row r="523" spans="1:14">
      <c r="B523" s="225"/>
      <c r="C523" s="260"/>
      <c r="D523" s="225"/>
      <c r="E523" s="260"/>
      <c r="F523" s="225"/>
      <c r="G523" s="260"/>
      <c r="H523" s="225"/>
      <c r="I523" s="260"/>
      <c r="K523" s="225"/>
      <c r="L523" s="225"/>
      <c r="M523" s="225"/>
      <c r="N523" s="225"/>
    </row>
    <row r="524" spans="1:14">
      <c r="B524" s="225"/>
      <c r="C524" s="260"/>
      <c r="D524" s="225"/>
      <c r="E524" s="260"/>
      <c r="F524" s="225"/>
      <c r="G524" s="260"/>
      <c r="H524" s="225"/>
      <c r="I524" s="260"/>
      <c r="K524" s="225"/>
      <c r="L524" s="225"/>
      <c r="M524" s="225"/>
      <c r="N524" s="225"/>
    </row>
    <row r="525" spans="1:14">
      <c r="B525" s="225"/>
      <c r="C525" s="260"/>
      <c r="D525" s="225"/>
      <c r="E525" s="260"/>
      <c r="F525" s="225"/>
      <c r="G525" s="260"/>
      <c r="H525" s="225"/>
      <c r="I525" s="260"/>
      <c r="K525" s="225"/>
      <c r="L525" s="225"/>
      <c r="M525" s="225"/>
      <c r="N525" s="225"/>
    </row>
    <row r="530" spans="1:14">
      <c r="A530" s="159"/>
      <c r="B530" s="261"/>
      <c r="C530" s="159"/>
      <c r="D530" s="261"/>
      <c r="E530" s="159"/>
      <c r="F530" s="261"/>
      <c r="G530" s="159"/>
      <c r="H530" s="261"/>
      <c r="I530" s="159"/>
    </row>
    <row r="531" spans="1:14">
      <c r="N531" s="263"/>
    </row>
    <row r="532" spans="1:14">
      <c r="A532" s="159"/>
      <c r="B532" s="261"/>
      <c r="C532" s="159"/>
      <c r="D532" s="261"/>
      <c r="E532" s="159"/>
      <c r="F532" s="261"/>
      <c r="G532" s="159"/>
      <c r="H532" s="261"/>
      <c r="I532" s="159"/>
      <c r="J532" s="159"/>
      <c r="K532" s="263"/>
      <c r="L532" s="263"/>
      <c r="M532" s="263"/>
      <c r="N532" s="263"/>
    </row>
    <row r="533" spans="1:14">
      <c r="A533" s="268"/>
      <c r="B533" s="263"/>
      <c r="C533" s="19"/>
      <c r="D533" s="263"/>
      <c r="E533" s="19"/>
      <c r="F533" s="263"/>
      <c r="G533" s="19"/>
      <c r="H533" s="263"/>
      <c r="I533" s="19"/>
      <c r="J533" s="159"/>
      <c r="K533" s="262"/>
      <c r="L533" s="261"/>
      <c r="M533" s="261"/>
    </row>
    <row r="534" spans="1:14">
      <c r="C534" s="260"/>
      <c r="E534" s="260"/>
      <c r="G534" s="260"/>
      <c r="I534" s="260"/>
    </row>
    <row r="535" spans="1:14">
      <c r="C535" s="260"/>
      <c r="E535" s="260"/>
      <c r="G535" s="260"/>
      <c r="I535" s="260"/>
    </row>
    <row r="536" spans="1:14">
      <c r="C536" s="260"/>
      <c r="E536" s="260"/>
      <c r="G536" s="260"/>
      <c r="I536" s="260"/>
    </row>
    <row r="537" spans="1:14">
      <c r="C537" s="260"/>
      <c r="E537" s="260"/>
      <c r="G537" s="260"/>
      <c r="I537" s="260"/>
    </row>
    <row r="538" spans="1:14">
      <c r="A538" s="268"/>
      <c r="C538" s="260"/>
      <c r="E538" s="260"/>
      <c r="G538" s="260"/>
      <c r="I538" s="260"/>
      <c r="K538" s="261"/>
    </row>
    <row r="539" spans="1:14">
      <c r="C539" s="260"/>
      <c r="E539" s="260"/>
      <c r="G539" s="260"/>
      <c r="I539" s="260"/>
    </row>
    <row r="540" spans="1:14">
      <c r="C540" s="260"/>
      <c r="E540" s="260"/>
      <c r="G540" s="260"/>
      <c r="I540" s="260"/>
    </row>
    <row r="541" spans="1:14">
      <c r="C541" s="260"/>
      <c r="E541" s="260"/>
      <c r="G541" s="260"/>
      <c r="I541" s="260"/>
    </row>
    <row r="542" spans="1:14">
      <c r="C542" s="260"/>
      <c r="E542" s="260"/>
      <c r="G542" s="260"/>
      <c r="I542" s="260"/>
    </row>
    <row r="543" spans="1:14">
      <c r="A543" s="268"/>
      <c r="C543" s="260"/>
      <c r="E543" s="260"/>
      <c r="G543" s="260"/>
      <c r="I543" s="260"/>
      <c r="K543" s="261"/>
    </row>
    <row r="544" spans="1:14">
      <c r="C544" s="260"/>
      <c r="E544" s="260"/>
      <c r="G544" s="260"/>
      <c r="I544" s="260"/>
    </row>
    <row r="545" spans="1:9">
      <c r="C545" s="260"/>
      <c r="E545" s="260"/>
      <c r="G545" s="260"/>
      <c r="I545" s="260"/>
    </row>
    <row r="546" spans="1:9">
      <c r="C546" s="260"/>
      <c r="E546" s="260"/>
      <c r="G546" s="260"/>
      <c r="I546" s="260"/>
    </row>
    <row r="557" spans="1:9">
      <c r="C557" s="159"/>
      <c r="E557" s="159"/>
      <c r="G557" s="159"/>
      <c r="I557" s="159"/>
    </row>
    <row r="558" spans="1:9">
      <c r="A558" s="159"/>
      <c r="B558" s="261"/>
      <c r="C558" s="159"/>
      <c r="D558" s="261"/>
      <c r="E558" s="159"/>
      <c r="F558" s="261"/>
      <c r="G558" s="159"/>
      <c r="H558" s="261"/>
      <c r="I558" s="159"/>
    </row>
    <row r="559" spans="1:9">
      <c r="A559" s="159"/>
      <c r="B559" s="261"/>
      <c r="C559" s="159"/>
      <c r="D559" s="261"/>
      <c r="E559" s="159"/>
      <c r="F559" s="261"/>
      <c r="G559" s="159"/>
      <c r="H559" s="261"/>
      <c r="I559" s="159"/>
    </row>
    <row r="560" spans="1:9">
      <c r="A560" s="159"/>
      <c r="B560" s="261"/>
      <c r="C560" s="159"/>
      <c r="D560" s="261"/>
      <c r="E560" s="159"/>
      <c r="F560" s="261"/>
      <c r="G560" s="159"/>
      <c r="H560" s="261"/>
      <c r="I560" s="159"/>
    </row>
    <row r="561" spans="1:9">
      <c r="A561" s="159"/>
      <c r="B561" s="261"/>
      <c r="C561" s="159"/>
      <c r="D561" s="261"/>
      <c r="E561" s="159"/>
      <c r="F561" s="261"/>
      <c r="G561" s="159"/>
      <c r="H561" s="261"/>
      <c r="I561" s="159"/>
    </row>
    <row r="562" spans="1:9">
      <c r="A562" s="159"/>
      <c r="B562" s="261"/>
      <c r="C562" s="159"/>
      <c r="D562" s="261"/>
      <c r="E562" s="159"/>
      <c r="F562" s="261"/>
      <c r="G562" s="159"/>
      <c r="H562" s="261"/>
      <c r="I562" s="159"/>
    </row>
    <row r="563" spans="1:9">
      <c r="A563" s="159"/>
      <c r="B563" s="261"/>
      <c r="C563" s="159"/>
      <c r="D563" s="261"/>
      <c r="E563" s="159"/>
      <c r="F563" s="261"/>
      <c r="G563" s="159"/>
      <c r="H563" s="261"/>
      <c r="I563" s="159"/>
    </row>
    <row r="564" spans="1:9">
      <c r="A564" s="159"/>
      <c r="B564" s="261"/>
      <c r="C564" s="159"/>
      <c r="D564" s="261"/>
      <c r="E564" s="159"/>
      <c r="F564" s="261"/>
      <c r="G564" s="159"/>
      <c r="H564" s="261"/>
      <c r="I564" s="159"/>
    </row>
    <row r="565" spans="1:9">
      <c r="A565" s="159"/>
      <c r="B565" s="261"/>
      <c r="C565" s="159"/>
      <c r="D565" s="261"/>
      <c r="E565" s="159"/>
      <c r="F565" s="261"/>
      <c r="G565" s="159"/>
      <c r="H565" s="261"/>
      <c r="I565" s="159"/>
    </row>
    <row r="566" spans="1:9">
      <c r="A566" s="159"/>
      <c r="B566" s="261"/>
      <c r="C566" s="159"/>
      <c r="D566" s="261"/>
      <c r="E566" s="159"/>
      <c r="F566" s="261"/>
      <c r="G566" s="159"/>
      <c r="H566" s="261"/>
      <c r="I566" s="159"/>
    </row>
    <row r="567" spans="1:9">
      <c r="A567" s="159"/>
      <c r="B567" s="261"/>
      <c r="C567" s="159"/>
      <c r="D567" s="261"/>
      <c r="E567" s="159"/>
      <c r="F567" s="261"/>
      <c r="G567" s="159"/>
      <c r="H567" s="261"/>
      <c r="I567" s="159"/>
    </row>
    <row r="568" spans="1:9">
      <c r="A568" s="159"/>
      <c r="B568" s="261"/>
      <c r="C568" s="159"/>
      <c r="D568" s="261"/>
      <c r="E568" s="159"/>
      <c r="F568" s="261"/>
      <c r="G568" s="159"/>
      <c r="H568" s="261"/>
      <c r="I568" s="159"/>
    </row>
    <row r="569" spans="1:9">
      <c r="A569" s="159"/>
      <c r="B569" s="261"/>
      <c r="C569" s="159"/>
      <c r="D569" s="261"/>
      <c r="E569" s="159"/>
      <c r="F569" s="261"/>
      <c r="G569" s="159"/>
      <c r="H569" s="261"/>
      <c r="I569" s="159"/>
    </row>
    <row r="570" spans="1:9">
      <c r="A570" s="159"/>
      <c r="B570" s="261"/>
      <c r="C570" s="159"/>
      <c r="D570" s="261"/>
      <c r="E570" s="159"/>
      <c r="F570" s="261"/>
      <c r="G570" s="159"/>
      <c r="H570" s="261"/>
      <c r="I570" s="159"/>
    </row>
    <row r="571" spans="1:9">
      <c r="A571" s="159"/>
      <c r="B571" s="261"/>
      <c r="C571" s="159"/>
      <c r="D571" s="261"/>
      <c r="E571" s="159"/>
      <c r="F571" s="261"/>
      <c r="G571" s="159"/>
      <c r="H571" s="261"/>
      <c r="I571" s="159"/>
    </row>
    <row r="572" spans="1:9">
      <c r="A572" s="159"/>
      <c r="B572" s="261"/>
      <c r="C572" s="159"/>
      <c r="D572" s="261"/>
      <c r="E572" s="159"/>
      <c r="F572" s="261"/>
      <c r="G572" s="159"/>
      <c r="H572" s="261"/>
      <c r="I572" s="159"/>
    </row>
    <row r="573" spans="1:9">
      <c r="A573" s="159"/>
      <c r="B573" s="261"/>
      <c r="C573" s="159"/>
      <c r="D573" s="261"/>
      <c r="E573" s="159"/>
      <c r="F573" s="261"/>
      <c r="G573" s="159"/>
      <c r="H573" s="261"/>
      <c r="I573" s="159"/>
    </row>
    <row r="574" spans="1:9">
      <c r="A574" s="159"/>
      <c r="B574" s="261"/>
      <c r="C574" s="159"/>
      <c r="D574" s="261"/>
      <c r="E574" s="159"/>
      <c r="F574" s="261"/>
      <c r="G574" s="159"/>
      <c r="H574" s="261"/>
      <c r="I574" s="159"/>
    </row>
    <row r="575" spans="1:9">
      <c r="A575" s="159"/>
      <c r="B575" s="261"/>
      <c r="C575" s="159"/>
      <c r="D575" s="261"/>
      <c r="E575" s="159"/>
      <c r="F575" s="261"/>
      <c r="G575" s="159"/>
      <c r="H575" s="261"/>
      <c r="I575" s="159"/>
    </row>
    <row r="576" spans="1:9">
      <c r="A576" s="159"/>
      <c r="B576" s="261"/>
      <c r="C576" s="159"/>
      <c r="D576" s="261"/>
      <c r="E576" s="159"/>
      <c r="F576" s="261"/>
      <c r="G576" s="159"/>
      <c r="H576" s="261"/>
      <c r="I576" s="159"/>
    </row>
    <row r="577" spans="1:8">
      <c r="A577" s="159"/>
      <c r="B577" s="261"/>
      <c r="D577" s="261"/>
      <c r="F577" s="261"/>
      <c r="H577" s="261"/>
    </row>
  </sheetData>
  <mergeCells count="100">
    <mergeCell ref="B490:C490"/>
    <mergeCell ref="D490:E490"/>
    <mergeCell ref="F490:G490"/>
    <mergeCell ref="H490:I490"/>
    <mergeCell ref="B511:C511"/>
    <mergeCell ref="D511:E511"/>
    <mergeCell ref="F511:G511"/>
    <mergeCell ref="H511:I511"/>
    <mergeCell ref="B7:C7"/>
    <mergeCell ref="D7:E7"/>
    <mergeCell ref="F7:G7"/>
    <mergeCell ref="H7:I7"/>
    <mergeCell ref="B28:C28"/>
    <mergeCell ref="D28:E28"/>
    <mergeCell ref="F28:G28"/>
    <mergeCell ref="H28:I28"/>
    <mergeCell ref="B49:C49"/>
    <mergeCell ref="D49:E49"/>
    <mergeCell ref="F49:G49"/>
    <mergeCell ref="H49:I49"/>
    <mergeCell ref="B70:C70"/>
    <mergeCell ref="D70:E70"/>
    <mergeCell ref="F70:G70"/>
    <mergeCell ref="H70:I70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/>
  <cols>
    <col min="1" max="1" width="35.85546875" style="236" customWidth="1"/>
    <col min="2" max="2" width="6.7109375" style="239" customWidth="1"/>
    <col min="3" max="3" width="6.7109375" style="285" customWidth="1"/>
    <col min="4" max="25" width="6.7109375" style="239" customWidth="1"/>
    <col min="26" max="26" width="7.5703125" style="236" customWidth="1"/>
    <col min="27" max="266" width="6.28515625" style="236"/>
    <col min="267" max="267" width="43.5703125" style="236" customWidth="1"/>
    <col min="268" max="268" width="7.5703125" style="236" customWidth="1"/>
    <col min="269" max="270" width="8.42578125" style="236" customWidth="1"/>
    <col min="271" max="271" width="6.7109375" style="236" customWidth="1"/>
    <col min="272" max="273" width="7.5703125" style="236" customWidth="1"/>
    <col min="274" max="275" width="8.42578125" style="236" customWidth="1"/>
    <col min="276" max="276" width="6.7109375" style="236" customWidth="1"/>
    <col min="277" max="278" width="7.5703125" style="236" customWidth="1"/>
    <col min="279" max="280" width="8.42578125" style="236" customWidth="1"/>
    <col min="281" max="281" width="6.7109375" style="236" customWidth="1"/>
    <col min="282" max="282" width="7.5703125" style="236" customWidth="1"/>
    <col min="283" max="522" width="6.28515625" style="236"/>
    <col min="523" max="523" width="43.5703125" style="236" customWidth="1"/>
    <col min="524" max="524" width="7.5703125" style="236" customWidth="1"/>
    <col min="525" max="526" width="8.42578125" style="236" customWidth="1"/>
    <col min="527" max="527" width="6.7109375" style="236" customWidth="1"/>
    <col min="528" max="529" width="7.5703125" style="236" customWidth="1"/>
    <col min="530" max="531" width="8.42578125" style="236" customWidth="1"/>
    <col min="532" max="532" width="6.7109375" style="236" customWidth="1"/>
    <col min="533" max="534" width="7.5703125" style="236" customWidth="1"/>
    <col min="535" max="536" width="8.42578125" style="236" customWidth="1"/>
    <col min="537" max="537" width="6.7109375" style="236" customWidth="1"/>
    <col min="538" max="538" width="7.5703125" style="236" customWidth="1"/>
    <col min="539" max="778" width="6.28515625" style="236"/>
    <col min="779" max="779" width="43.5703125" style="236" customWidth="1"/>
    <col min="780" max="780" width="7.5703125" style="236" customWidth="1"/>
    <col min="781" max="782" width="8.42578125" style="236" customWidth="1"/>
    <col min="783" max="783" width="6.7109375" style="236" customWidth="1"/>
    <col min="784" max="785" width="7.5703125" style="236" customWidth="1"/>
    <col min="786" max="787" width="8.42578125" style="236" customWidth="1"/>
    <col min="788" max="788" width="6.7109375" style="236" customWidth="1"/>
    <col min="789" max="790" width="7.5703125" style="236" customWidth="1"/>
    <col min="791" max="792" width="8.42578125" style="236" customWidth="1"/>
    <col min="793" max="793" width="6.7109375" style="236" customWidth="1"/>
    <col min="794" max="794" width="7.5703125" style="236" customWidth="1"/>
    <col min="795" max="1034" width="6.28515625" style="236"/>
    <col min="1035" max="1035" width="43.5703125" style="236" customWidth="1"/>
    <col min="1036" max="1036" width="7.5703125" style="236" customWidth="1"/>
    <col min="1037" max="1038" width="8.42578125" style="236" customWidth="1"/>
    <col min="1039" max="1039" width="6.7109375" style="236" customWidth="1"/>
    <col min="1040" max="1041" width="7.5703125" style="236" customWidth="1"/>
    <col min="1042" max="1043" width="8.42578125" style="236" customWidth="1"/>
    <col min="1044" max="1044" width="6.7109375" style="236" customWidth="1"/>
    <col min="1045" max="1046" width="7.5703125" style="236" customWidth="1"/>
    <col min="1047" max="1048" width="8.42578125" style="236" customWidth="1"/>
    <col min="1049" max="1049" width="6.7109375" style="236" customWidth="1"/>
    <col min="1050" max="1050" width="7.5703125" style="236" customWidth="1"/>
    <col min="1051" max="1290" width="6.28515625" style="236"/>
    <col min="1291" max="1291" width="43.5703125" style="236" customWidth="1"/>
    <col min="1292" max="1292" width="7.5703125" style="236" customWidth="1"/>
    <col min="1293" max="1294" width="8.42578125" style="236" customWidth="1"/>
    <col min="1295" max="1295" width="6.7109375" style="236" customWidth="1"/>
    <col min="1296" max="1297" width="7.5703125" style="236" customWidth="1"/>
    <col min="1298" max="1299" width="8.42578125" style="236" customWidth="1"/>
    <col min="1300" max="1300" width="6.7109375" style="236" customWidth="1"/>
    <col min="1301" max="1302" width="7.5703125" style="236" customWidth="1"/>
    <col min="1303" max="1304" width="8.42578125" style="236" customWidth="1"/>
    <col min="1305" max="1305" width="6.7109375" style="236" customWidth="1"/>
    <col min="1306" max="1306" width="7.5703125" style="236" customWidth="1"/>
    <col min="1307" max="1546" width="6.28515625" style="236"/>
    <col min="1547" max="1547" width="43.5703125" style="236" customWidth="1"/>
    <col min="1548" max="1548" width="7.5703125" style="236" customWidth="1"/>
    <col min="1549" max="1550" width="8.42578125" style="236" customWidth="1"/>
    <col min="1551" max="1551" width="6.7109375" style="236" customWidth="1"/>
    <col min="1552" max="1553" width="7.5703125" style="236" customWidth="1"/>
    <col min="1554" max="1555" width="8.42578125" style="236" customWidth="1"/>
    <col min="1556" max="1556" width="6.7109375" style="236" customWidth="1"/>
    <col min="1557" max="1558" width="7.5703125" style="236" customWidth="1"/>
    <col min="1559" max="1560" width="8.42578125" style="236" customWidth="1"/>
    <col min="1561" max="1561" width="6.7109375" style="236" customWidth="1"/>
    <col min="1562" max="1562" width="7.5703125" style="236" customWidth="1"/>
    <col min="1563" max="1802" width="6.28515625" style="236"/>
    <col min="1803" max="1803" width="43.5703125" style="236" customWidth="1"/>
    <col min="1804" max="1804" width="7.5703125" style="236" customWidth="1"/>
    <col min="1805" max="1806" width="8.42578125" style="236" customWidth="1"/>
    <col min="1807" max="1807" width="6.7109375" style="236" customWidth="1"/>
    <col min="1808" max="1809" width="7.5703125" style="236" customWidth="1"/>
    <col min="1810" max="1811" width="8.42578125" style="236" customWidth="1"/>
    <col min="1812" max="1812" width="6.7109375" style="236" customWidth="1"/>
    <col min="1813" max="1814" width="7.5703125" style="236" customWidth="1"/>
    <col min="1815" max="1816" width="8.42578125" style="236" customWidth="1"/>
    <col min="1817" max="1817" width="6.7109375" style="236" customWidth="1"/>
    <col min="1818" max="1818" width="7.5703125" style="236" customWidth="1"/>
    <col min="1819" max="2058" width="6.28515625" style="236"/>
    <col min="2059" max="2059" width="43.5703125" style="236" customWidth="1"/>
    <col min="2060" max="2060" width="7.5703125" style="236" customWidth="1"/>
    <col min="2061" max="2062" width="8.42578125" style="236" customWidth="1"/>
    <col min="2063" max="2063" width="6.7109375" style="236" customWidth="1"/>
    <col min="2064" max="2065" width="7.5703125" style="236" customWidth="1"/>
    <col min="2066" max="2067" width="8.42578125" style="236" customWidth="1"/>
    <col min="2068" max="2068" width="6.7109375" style="236" customWidth="1"/>
    <col min="2069" max="2070" width="7.5703125" style="236" customWidth="1"/>
    <col min="2071" max="2072" width="8.42578125" style="236" customWidth="1"/>
    <col min="2073" max="2073" width="6.7109375" style="236" customWidth="1"/>
    <col min="2074" max="2074" width="7.5703125" style="236" customWidth="1"/>
    <col min="2075" max="2314" width="6.28515625" style="236"/>
    <col min="2315" max="2315" width="43.5703125" style="236" customWidth="1"/>
    <col min="2316" max="2316" width="7.5703125" style="236" customWidth="1"/>
    <col min="2317" max="2318" width="8.42578125" style="236" customWidth="1"/>
    <col min="2319" max="2319" width="6.7109375" style="236" customWidth="1"/>
    <col min="2320" max="2321" width="7.5703125" style="236" customWidth="1"/>
    <col min="2322" max="2323" width="8.42578125" style="236" customWidth="1"/>
    <col min="2324" max="2324" width="6.7109375" style="236" customWidth="1"/>
    <col min="2325" max="2326" width="7.5703125" style="236" customWidth="1"/>
    <col min="2327" max="2328" width="8.42578125" style="236" customWidth="1"/>
    <col min="2329" max="2329" width="6.7109375" style="236" customWidth="1"/>
    <col min="2330" max="2330" width="7.5703125" style="236" customWidth="1"/>
    <col min="2331" max="2570" width="6.28515625" style="236"/>
    <col min="2571" max="2571" width="43.5703125" style="236" customWidth="1"/>
    <col min="2572" max="2572" width="7.5703125" style="236" customWidth="1"/>
    <col min="2573" max="2574" width="8.42578125" style="236" customWidth="1"/>
    <col min="2575" max="2575" width="6.7109375" style="236" customWidth="1"/>
    <col min="2576" max="2577" width="7.5703125" style="236" customWidth="1"/>
    <col min="2578" max="2579" width="8.42578125" style="236" customWidth="1"/>
    <col min="2580" max="2580" width="6.7109375" style="236" customWidth="1"/>
    <col min="2581" max="2582" width="7.5703125" style="236" customWidth="1"/>
    <col min="2583" max="2584" width="8.42578125" style="236" customWidth="1"/>
    <col min="2585" max="2585" width="6.7109375" style="236" customWidth="1"/>
    <col min="2586" max="2586" width="7.5703125" style="236" customWidth="1"/>
    <col min="2587" max="2826" width="6.28515625" style="236"/>
    <col min="2827" max="2827" width="43.5703125" style="236" customWidth="1"/>
    <col min="2828" max="2828" width="7.5703125" style="236" customWidth="1"/>
    <col min="2829" max="2830" width="8.42578125" style="236" customWidth="1"/>
    <col min="2831" max="2831" width="6.7109375" style="236" customWidth="1"/>
    <col min="2832" max="2833" width="7.5703125" style="236" customWidth="1"/>
    <col min="2834" max="2835" width="8.42578125" style="236" customWidth="1"/>
    <col min="2836" max="2836" width="6.7109375" style="236" customWidth="1"/>
    <col min="2837" max="2838" width="7.5703125" style="236" customWidth="1"/>
    <col min="2839" max="2840" width="8.42578125" style="236" customWidth="1"/>
    <col min="2841" max="2841" width="6.7109375" style="236" customWidth="1"/>
    <col min="2842" max="2842" width="7.5703125" style="236" customWidth="1"/>
    <col min="2843" max="3082" width="6.28515625" style="236"/>
    <col min="3083" max="3083" width="43.5703125" style="236" customWidth="1"/>
    <col min="3084" max="3084" width="7.5703125" style="236" customWidth="1"/>
    <col min="3085" max="3086" width="8.42578125" style="236" customWidth="1"/>
    <col min="3087" max="3087" width="6.7109375" style="236" customWidth="1"/>
    <col min="3088" max="3089" width="7.5703125" style="236" customWidth="1"/>
    <col min="3090" max="3091" width="8.42578125" style="236" customWidth="1"/>
    <col min="3092" max="3092" width="6.7109375" style="236" customWidth="1"/>
    <col min="3093" max="3094" width="7.5703125" style="236" customWidth="1"/>
    <col min="3095" max="3096" width="8.42578125" style="236" customWidth="1"/>
    <col min="3097" max="3097" width="6.7109375" style="236" customWidth="1"/>
    <col min="3098" max="3098" width="7.5703125" style="236" customWidth="1"/>
    <col min="3099" max="3338" width="6.28515625" style="236"/>
    <col min="3339" max="3339" width="43.5703125" style="236" customWidth="1"/>
    <col min="3340" max="3340" width="7.5703125" style="236" customWidth="1"/>
    <col min="3341" max="3342" width="8.42578125" style="236" customWidth="1"/>
    <col min="3343" max="3343" width="6.7109375" style="236" customWidth="1"/>
    <col min="3344" max="3345" width="7.5703125" style="236" customWidth="1"/>
    <col min="3346" max="3347" width="8.42578125" style="236" customWidth="1"/>
    <col min="3348" max="3348" width="6.7109375" style="236" customWidth="1"/>
    <col min="3349" max="3350" width="7.5703125" style="236" customWidth="1"/>
    <col min="3351" max="3352" width="8.42578125" style="236" customWidth="1"/>
    <col min="3353" max="3353" width="6.7109375" style="236" customWidth="1"/>
    <col min="3354" max="3354" width="7.5703125" style="236" customWidth="1"/>
    <col min="3355" max="3594" width="6.28515625" style="236"/>
    <col min="3595" max="3595" width="43.5703125" style="236" customWidth="1"/>
    <col min="3596" max="3596" width="7.5703125" style="236" customWidth="1"/>
    <col min="3597" max="3598" width="8.42578125" style="236" customWidth="1"/>
    <col min="3599" max="3599" width="6.7109375" style="236" customWidth="1"/>
    <col min="3600" max="3601" width="7.5703125" style="236" customWidth="1"/>
    <col min="3602" max="3603" width="8.42578125" style="236" customWidth="1"/>
    <col min="3604" max="3604" width="6.7109375" style="236" customWidth="1"/>
    <col min="3605" max="3606" width="7.5703125" style="236" customWidth="1"/>
    <col min="3607" max="3608" width="8.42578125" style="236" customWidth="1"/>
    <col min="3609" max="3609" width="6.7109375" style="236" customWidth="1"/>
    <col min="3610" max="3610" width="7.5703125" style="236" customWidth="1"/>
    <col min="3611" max="3850" width="6.28515625" style="236"/>
    <col min="3851" max="3851" width="43.5703125" style="236" customWidth="1"/>
    <col min="3852" max="3852" width="7.5703125" style="236" customWidth="1"/>
    <col min="3853" max="3854" width="8.42578125" style="236" customWidth="1"/>
    <col min="3855" max="3855" width="6.7109375" style="236" customWidth="1"/>
    <col min="3856" max="3857" width="7.5703125" style="236" customWidth="1"/>
    <col min="3858" max="3859" width="8.42578125" style="236" customWidth="1"/>
    <col min="3860" max="3860" width="6.7109375" style="236" customWidth="1"/>
    <col min="3861" max="3862" width="7.5703125" style="236" customWidth="1"/>
    <col min="3863" max="3864" width="8.42578125" style="236" customWidth="1"/>
    <col min="3865" max="3865" width="6.7109375" style="236" customWidth="1"/>
    <col min="3866" max="3866" width="7.5703125" style="236" customWidth="1"/>
    <col min="3867" max="4106" width="6.28515625" style="236"/>
    <col min="4107" max="4107" width="43.5703125" style="236" customWidth="1"/>
    <col min="4108" max="4108" width="7.5703125" style="236" customWidth="1"/>
    <col min="4109" max="4110" width="8.42578125" style="236" customWidth="1"/>
    <col min="4111" max="4111" width="6.7109375" style="236" customWidth="1"/>
    <col min="4112" max="4113" width="7.5703125" style="236" customWidth="1"/>
    <col min="4114" max="4115" width="8.42578125" style="236" customWidth="1"/>
    <col min="4116" max="4116" width="6.7109375" style="236" customWidth="1"/>
    <col min="4117" max="4118" width="7.5703125" style="236" customWidth="1"/>
    <col min="4119" max="4120" width="8.42578125" style="236" customWidth="1"/>
    <col min="4121" max="4121" width="6.7109375" style="236" customWidth="1"/>
    <col min="4122" max="4122" width="7.5703125" style="236" customWidth="1"/>
    <col min="4123" max="4362" width="6.28515625" style="236"/>
    <col min="4363" max="4363" width="43.5703125" style="236" customWidth="1"/>
    <col min="4364" max="4364" width="7.5703125" style="236" customWidth="1"/>
    <col min="4365" max="4366" width="8.42578125" style="236" customWidth="1"/>
    <col min="4367" max="4367" width="6.7109375" style="236" customWidth="1"/>
    <col min="4368" max="4369" width="7.5703125" style="236" customWidth="1"/>
    <col min="4370" max="4371" width="8.42578125" style="236" customWidth="1"/>
    <col min="4372" max="4372" width="6.7109375" style="236" customWidth="1"/>
    <col min="4373" max="4374" width="7.5703125" style="236" customWidth="1"/>
    <col min="4375" max="4376" width="8.42578125" style="236" customWidth="1"/>
    <col min="4377" max="4377" width="6.7109375" style="236" customWidth="1"/>
    <col min="4378" max="4378" width="7.5703125" style="236" customWidth="1"/>
    <col min="4379" max="4618" width="6.28515625" style="236"/>
    <col min="4619" max="4619" width="43.5703125" style="236" customWidth="1"/>
    <col min="4620" max="4620" width="7.5703125" style="236" customWidth="1"/>
    <col min="4621" max="4622" width="8.42578125" style="236" customWidth="1"/>
    <col min="4623" max="4623" width="6.7109375" style="236" customWidth="1"/>
    <col min="4624" max="4625" width="7.5703125" style="236" customWidth="1"/>
    <col min="4626" max="4627" width="8.42578125" style="236" customWidth="1"/>
    <col min="4628" max="4628" width="6.7109375" style="236" customWidth="1"/>
    <col min="4629" max="4630" width="7.5703125" style="236" customWidth="1"/>
    <col min="4631" max="4632" width="8.42578125" style="236" customWidth="1"/>
    <col min="4633" max="4633" width="6.7109375" style="236" customWidth="1"/>
    <col min="4634" max="4634" width="7.5703125" style="236" customWidth="1"/>
    <col min="4635" max="4874" width="6.28515625" style="236"/>
    <col min="4875" max="4875" width="43.5703125" style="236" customWidth="1"/>
    <col min="4876" max="4876" width="7.5703125" style="236" customWidth="1"/>
    <col min="4877" max="4878" width="8.42578125" style="236" customWidth="1"/>
    <col min="4879" max="4879" width="6.7109375" style="236" customWidth="1"/>
    <col min="4880" max="4881" width="7.5703125" style="236" customWidth="1"/>
    <col min="4882" max="4883" width="8.42578125" style="236" customWidth="1"/>
    <col min="4884" max="4884" width="6.7109375" style="236" customWidth="1"/>
    <col min="4885" max="4886" width="7.5703125" style="236" customWidth="1"/>
    <col min="4887" max="4888" width="8.42578125" style="236" customWidth="1"/>
    <col min="4889" max="4889" width="6.7109375" style="236" customWidth="1"/>
    <col min="4890" max="4890" width="7.5703125" style="236" customWidth="1"/>
    <col min="4891" max="5130" width="6.28515625" style="236"/>
    <col min="5131" max="5131" width="43.5703125" style="236" customWidth="1"/>
    <col min="5132" max="5132" width="7.5703125" style="236" customWidth="1"/>
    <col min="5133" max="5134" width="8.42578125" style="236" customWidth="1"/>
    <col min="5135" max="5135" width="6.7109375" style="236" customWidth="1"/>
    <col min="5136" max="5137" width="7.5703125" style="236" customWidth="1"/>
    <col min="5138" max="5139" width="8.42578125" style="236" customWidth="1"/>
    <col min="5140" max="5140" width="6.7109375" style="236" customWidth="1"/>
    <col min="5141" max="5142" width="7.5703125" style="236" customWidth="1"/>
    <col min="5143" max="5144" width="8.42578125" style="236" customWidth="1"/>
    <col min="5145" max="5145" width="6.7109375" style="236" customWidth="1"/>
    <col min="5146" max="5146" width="7.5703125" style="236" customWidth="1"/>
    <col min="5147" max="5386" width="6.28515625" style="236"/>
    <col min="5387" max="5387" width="43.5703125" style="236" customWidth="1"/>
    <col min="5388" max="5388" width="7.5703125" style="236" customWidth="1"/>
    <col min="5389" max="5390" width="8.42578125" style="236" customWidth="1"/>
    <col min="5391" max="5391" width="6.7109375" style="236" customWidth="1"/>
    <col min="5392" max="5393" width="7.5703125" style="236" customWidth="1"/>
    <col min="5394" max="5395" width="8.42578125" style="236" customWidth="1"/>
    <col min="5396" max="5396" width="6.7109375" style="236" customWidth="1"/>
    <col min="5397" max="5398" width="7.5703125" style="236" customWidth="1"/>
    <col min="5399" max="5400" width="8.42578125" style="236" customWidth="1"/>
    <col min="5401" max="5401" width="6.7109375" style="236" customWidth="1"/>
    <col min="5402" max="5402" width="7.5703125" style="236" customWidth="1"/>
    <col min="5403" max="5642" width="6.28515625" style="236"/>
    <col min="5643" max="5643" width="43.5703125" style="236" customWidth="1"/>
    <col min="5644" max="5644" width="7.5703125" style="236" customWidth="1"/>
    <col min="5645" max="5646" width="8.42578125" style="236" customWidth="1"/>
    <col min="5647" max="5647" width="6.7109375" style="236" customWidth="1"/>
    <col min="5648" max="5649" width="7.5703125" style="236" customWidth="1"/>
    <col min="5650" max="5651" width="8.42578125" style="236" customWidth="1"/>
    <col min="5652" max="5652" width="6.7109375" style="236" customWidth="1"/>
    <col min="5653" max="5654" width="7.5703125" style="236" customWidth="1"/>
    <col min="5655" max="5656" width="8.42578125" style="236" customWidth="1"/>
    <col min="5657" max="5657" width="6.7109375" style="236" customWidth="1"/>
    <col min="5658" max="5658" width="7.5703125" style="236" customWidth="1"/>
    <col min="5659" max="5898" width="6.28515625" style="236"/>
    <col min="5899" max="5899" width="43.5703125" style="236" customWidth="1"/>
    <col min="5900" max="5900" width="7.5703125" style="236" customWidth="1"/>
    <col min="5901" max="5902" width="8.42578125" style="236" customWidth="1"/>
    <col min="5903" max="5903" width="6.7109375" style="236" customWidth="1"/>
    <col min="5904" max="5905" width="7.5703125" style="236" customWidth="1"/>
    <col min="5906" max="5907" width="8.42578125" style="236" customWidth="1"/>
    <col min="5908" max="5908" width="6.7109375" style="236" customWidth="1"/>
    <col min="5909" max="5910" width="7.5703125" style="236" customWidth="1"/>
    <col min="5911" max="5912" width="8.42578125" style="236" customWidth="1"/>
    <col min="5913" max="5913" width="6.7109375" style="236" customWidth="1"/>
    <col min="5914" max="5914" width="7.5703125" style="236" customWidth="1"/>
    <col min="5915" max="6154" width="6.28515625" style="236"/>
    <col min="6155" max="6155" width="43.5703125" style="236" customWidth="1"/>
    <col min="6156" max="6156" width="7.5703125" style="236" customWidth="1"/>
    <col min="6157" max="6158" width="8.42578125" style="236" customWidth="1"/>
    <col min="6159" max="6159" width="6.7109375" style="236" customWidth="1"/>
    <col min="6160" max="6161" width="7.5703125" style="236" customWidth="1"/>
    <col min="6162" max="6163" width="8.42578125" style="236" customWidth="1"/>
    <col min="6164" max="6164" width="6.7109375" style="236" customWidth="1"/>
    <col min="6165" max="6166" width="7.5703125" style="236" customWidth="1"/>
    <col min="6167" max="6168" width="8.42578125" style="236" customWidth="1"/>
    <col min="6169" max="6169" width="6.7109375" style="236" customWidth="1"/>
    <col min="6170" max="6170" width="7.5703125" style="236" customWidth="1"/>
    <col min="6171" max="6410" width="6.28515625" style="236"/>
    <col min="6411" max="6411" width="43.5703125" style="236" customWidth="1"/>
    <col min="6412" max="6412" width="7.5703125" style="236" customWidth="1"/>
    <col min="6413" max="6414" width="8.42578125" style="236" customWidth="1"/>
    <col min="6415" max="6415" width="6.7109375" style="236" customWidth="1"/>
    <col min="6416" max="6417" width="7.5703125" style="236" customWidth="1"/>
    <col min="6418" max="6419" width="8.42578125" style="236" customWidth="1"/>
    <col min="6420" max="6420" width="6.7109375" style="236" customWidth="1"/>
    <col min="6421" max="6422" width="7.5703125" style="236" customWidth="1"/>
    <col min="6423" max="6424" width="8.42578125" style="236" customWidth="1"/>
    <col min="6425" max="6425" width="6.7109375" style="236" customWidth="1"/>
    <col min="6426" max="6426" width="7.5703125" style="236" customWidth="1"/>
    <col min="6427" max="6666" width="6.28515625" style="236"/>
    <col min="6667" max="6667" width="43.5703125" style="236" customWidth="1"/>
    <col min="6668" max="6668" width="7.5703125" style="236" customWidth="1"/>
    <col min="6669" max="6670" width="8.42578125" style="236" customWidth="1"/>
    <col min="6671" max="6671" width="6.7109375" style="236" customWidth="1"/>
    <col min="6672" max="6673" width="7.5703125" style="236" customWidth="1"/>
    <col min="6674" max="6675" width="8.42578125" style="236" customWidth="1"/>
    <col min="6676" max="6676" width="6.7109375" style="236" customWidth="1"/>
    <col min="6677" max="6678" width="7.5703125" style="236" customWidth="1"/>
    <col min="6679" max="6680" width="8.42578125" style="236" customWidth="1"/>
    <col min="6681" max="6681" width="6.7109375" style="236" customWidth="1"/>
    <col min="6682" max="6682" width="7.5703125" style="236" customWidth="1"/>
    <col min="6683" max="6922" width="6.28515625" style="236"/>
    <col min="6923" max="6923" width="43.5703125" style="236" customWidth="1"/>
    <col min="6924" max="6924" width="7.5703125" style="236" customWidth="1"/>
    <col min="6925" max="6926" width="8.42578125" style="236" customWidth="1"/>
    <col min="6927" max="6927" width="6.7109375" style="236" customWidth="1"/>
    <col min="6928" max="6929" width="7.5703125" style="236" customWidth="1"/>
    <col min="6930" max="6931" width="8.42578125" style="236" customWidth="1"/>
    <col min="6932" max="6932" width="6.7109375" style="236" customWidth="1"/>
    <col min="6933" max="6934" width="7.5703125" style="236" customWidth="1"/>
    <col min="6935" max="6936" width="8.42578125" style="236" customWidth="1"/>
    <col min="6937" max="6937" width="6.7109375" style="236" customWidth="1"/>
    <col min="6938" max="6938" width="7.5703125" style="236" customWidth="1"/>
    <col min="6939" max="7178" width="6.28515625" style="236"/>
    <col min="7179" max="7179" width="43.5703125" style="236" customWidth="1"/>
    <col min="7180" max="7180" width="7.5703125" style="236" customWidth="1"/>
    <col min="7181" max="7182" width="8.42578125" style="236" customWidth="1"/>
    <col min="7183" max="7183" width="6.7109375" style="236" customWidth="1"/>
    <col min="7184" max="7185" width="7.5703125" style="236" customWidth="1"/>
    <col min="7186" max="7187" width="8.42578125" style="236" customWidth="1"/>
    <col min="7188" max="7188" width="6.7109375" style="236" customWidth="1"/>
    <col min="7189" max="7190" width="7.5703125" style="236" customWidth="1"/>
    <col min="7191" max="7192" width="8.42578125" style="236" customWidth="1"/>
    <col min="7193" max="7193" width="6.7109375" style="236" customWidth="1"/>
    <col min="7194" max="7194" width="7.5703125" style="236" customWidth="1"/>
    <col min="7195" max="7434" width="6.28515625" style="236"/>
    <col min="7435" max="7435" width="43.5703125" style="236" customWidth="1"/>
    <col min="7436" max="7436" width="7.5703125" style="236" customWidth="1"/>
    <col min="7437" max="7438" width="8.42578125" style="236" customWidth="1"/>
    <col min="7439" max="7439" width="6.7109375" style="236" customWidth="1"/>
    <col min="7440" max="7441" width="7.5703125" style="236" customWidth="1"/>
    <col min="7442" max="7443" width="8.42578125" style="236" customWidth="1"/>
    <col min="7444" max="7444" width="6.7109375" style="236" customWidth="1"/>
    <col min="7445" max="7446" width="7.5703125" style="236" customWidth="1"/>
    <col min="7447" max="7448" width="8.42578125" style="236" customWidth="1"/>
    <col min="7449" max="7449" width="6.7109375" style="236" customWidth="1"/>
    <col min="7450" max="7450" width="7.5703125" style="236" customWidth="1"/>
    <col min="7451" max="7690" width="6.28515625" style="236"/>
    <col min="7691" max="7691" width="43.5703125" style="236" customWidth="1"/>
    <col min="7692" max="7692" width="7.5703125" style="236" customWidth="1"/>
    <col min="7693" max="7694" width="8.42578125" style="236" customWidth="1"/>
    <col min="7695" max="7695" width="6.7109375" style="236" customWidth="1"/>
    <col min="7696" max="7697" width="7.5703125" style="236" customWidth="1"/>
    <col min="7698" max="7699" width="8.42578125" style="236" customWidth="1"/>
    <col min="7700" max="7700" width="6.7109375" style="236" customWidth="1"/>
    <col min="7701" max="7702" width="7.5703125" style="236" customWidth="1"/>
    <col min="7703" max="7704" width="8.42578125" style="236" customWidth="1"/>
    <col min="7705" max="7705" width="6.7109375" style="236" customWidth="1"/>
    <col min="7706" max="7706" width="7.5703125" style="236" customWidth="1"/>
    <col min="7707" max="7946" width="6.28515625" style="236"/>
    <col min="7947" max="7947" width="43.5703125" style="236" customWidth="1"/>
    <col min="7948" max="7948" width="7.5703125" style="236" customWidth="1"/>
    <col min="7949" max="7950" width="8.42578125" style="236" customWidth="1"/>
    <col min="7951" max="7951" width="6.7109375" style="236" customWidth="1"/>
    <col min="7952" max="7953" width="7.5703125" style="236" customWidth="1"/>
    <col min="7954" max="7955" width="8.42578125" style="236" customWidth="1"/>
    <col min="7956" max="7956" width="6.7109375" style="236" customWidth="1"/>
    <col min="7957" max="7958" width="7.5703125" style="236" customWidth="1"/>
    <col min="7959" max="7960" width="8.42578125" style="236" customWidth="1"/>
    <col min="7961" max="7961" width="6.7109375" style="236" customWidth="1"/>
    <col min="7962" max="7962" width="7.5703125" style="236" customWidth="1"/>
    <col min="7963" max="8202" width="6.28515625" style="236"/>
    <col min="8203" max="8203" width="43.5703125" style="236" customWidth="1"/>
    <col min="8204" max="8204" width="7.5703125" style="236" customWidth="1"/>
    <col min="8205" max="8206" width="8.42578125" style="236" customWidth="1"/>
    <col min="8207" max="8207" width="6.7109375" style="236" customWidth="1"/>
    <col min="8208" max="8209" width="7.5703125" style="236" customWidth="1"/>
    <col min="8210" max="8211" width="8.42578125" style="236" customWidth="1"/>
    <col min="8212" max="8212" width="6.7109375" style="236" customWidth="1"/>
    <col min="8213" max="8214" width="7.5703125" style="236" customWidth="1"/>
    <col min="8215" max="8216" width="8.42578125" style="236" customWidth="1"/>
    <col min="8217" max="8217" width="6.7109375" style="236" customWidth="1"/>
    <col min="8218" max="8218" width="7.5703125" style="236" customWidth="1"/>
    <col min="8219" max="8458" width="6.28515625" style="236"/>
    <col min="8459" max="8459" width="43.5703125" style="236" customWidth="1"/>
    <col min="8460" max="8460" width="7.5703125" style="236" customWidth="1"/>
    <col min="8461" max="8462" width="8.42578125" style="236" customWidth="1"/>
    <col min="8463" max="8463" width="6.7109375" style="236" customWidth="1"/>
    <col min="8464" max="8465" width="7.5703125" style="236" customWidth="1"/>
    <col min="8466" max="8467" width="8.42578125" style="236" customWidth="1"/>
    <col min="8468" max="8468" width="6.7109375" style="236" customWidth="1"/>
    <col min="8469" max="8470" width="7.5703125" style="236" customWidth="1"/>
    <col min="8471" max="8472" width="8.42578125" style="236" customWidth="1"/>
    <col min="8473" max="8473" width="6.7109375" style="236" customWidth="1"/>
    <col min="8474" max="8474" width="7.5703125" style="236" customWidth="1"/>
    <col min="8475" max="8714" width="6.28515625" style="236"/>
    <col min="8715" max="8715" width="43.5703125" style="236" customWidth="1"/>
    <col min="8716" max="8716" width="7.5703125" style="236" customWidth="1"/>
    <col min="8717" max="8718" width="8.42578125" style="236" customWidth="1"/>
    <col min="8719" max="8719" width="6.7109375" style="236" customWidth="1"/>
    <col min="8720" max="8721" width="7.5703125" style="236" customWidth="1"/>
    <col min="8722" max="8723" width="8.42578125" style="236" customWidth="1"/>
    <col min="8724" max="8724" width="6.7109375" style="236" customWidth="1"/>
    <col min="8725" max="8726" width="7.5703125" style="236" customWidth="1"/>
    <col min="8727" max="8728" width="8.42578125" style="236" customWidth="1"/>
    <col min="8729" max="8729" width="6.7109375" style="236" customWidth="1"/>
    <col min="8730" max="8730" width="7.5703125" style="236" customWidth="1"/>
    <col min="8731" max="8970" width="6.28515625" style="236"/>
    <col min="8971" max="8971" width="43.5703125" style="236" customWidth="1"/>
    <col min="8972" max="8972" width="7.5703125" style="236" customWidth="1"/>
    <col min="8973" max="8974" width="8.42578125" style="236" customWidth="1"/>
    <col min="8975" max="8975" width="6.7109375" style="236" customWidth="1"/>
    <col min="8976" max="8977" width="7.5703125" style="236" customWidth="1"/>
    <col min="8978" max="8979" width="8.42578125" style="236" customWidth="1"/>
    <col min="8980" max="8980" width="6.7109375" style="236" customWidth="1"/>
    <col min="8981" max="8982" width="7.5703125" style="236" customWidth="1"/>
    <col min="8983" max="8984" width="8.42578125" style="236" customWidth="1"/>
    <col min="8985" max="8985" width="6.7109375" style="236" customWidth="1"/>
    <col min="8986" max="8986" width="7.5703125" style="236" customWidth="1"/>
    <col min="8987" max="9226" width="6.28515625" style="236"/>
    <col min="9227" max="9227" width="43.5703125" style="236" customWidth="1"/>
    <col min="9228" max="9228" width="7.5703125" style="236" customWidth="1"/>
    <col min="9229" max="9230" width="8.42578125" style="236" customWidth="1"/>
    <col min="9231" max="9231" width="6.7109375" style="236" customWidth="1"/>
    <col min="9232" max="9233" width="7.5703125" style="236" customWidth="1"/>
    <col min="9234" max="9235" width="8.42578125" style="236" customWidth="1"/>
    <col min="9236" max="9236" width="6.7109375" style="236" customWidth="1"/>
    <col min="9237" max="9238" width="7.5703125" style="236" customWidth="1"/>
    <col min="9239" max="9240" width="8.42578125" style="236" customWidth="1"/>
    <col min="9241" max="9241" width="6.7109375" style="236" customWidth="1"/>
    <col min="9242" max="9242" width="7.5703125" style="236" customWidth="1"/>
    <col min="9243" max="9482" width="6.28515625" style="236"/>
    <col min="9483" max="9483" width="43.5703125" style="236" customWidth="1"/>
    <col min="9484" max="9484" width="7.5703125" style="236" customWidth="1"/>
    <col min="9485" max="9486" width="8.42578125" style="236" customWidth="1"/>
    <col min="9487" max="9487" width="6.7109375" style="236" customWidth="1"/>
    <col min="9488" max="9489" width="7.5703125" style="236" customWidth="1"/>
    <col min="9490" max="9491" width="8.42578125" style="236" customWidth="1"/>
    <col min="9492" max="9492" width="6.7109375" style="236" customWidth="1"/>
    <col min="9493" max="9494" width="7.5703125" style="236" customWidth="1"/>
    <col min="9495" max="9496" width="8.42578125" style="236" customWidth="1"/>
    <col min="9497" max="9497" width="6.7109375" style="236" customWidth="1"/>
    <col min="9498" max="9498" width="7.5703125" style="236" customWidth="1"/>
    <col min="9499" max="9738" width="6.28515625" style="236"/>
    <col min="9739" max="9739" width="43.5703125" style="236" customWidth="1"/>
    <col min="9740" max="9740" width="7.5703125" style="236" customWidth="1"/>
    <col min="9741" max="9742" width="8.42578125" style="236" customWidth="1"/>
    <col min="9743" max="9743" width="6.7109375" style="236" customWidth="1"/>
    <col min="9744" max="9745" width="7.5703125" style="236" customWidth="1"/>
    <col min="9746" max="9747" width="8.42578125" style="236" customWidth="1"/>
    <col min="9748" max="9748" width="6.7109375" style="236" customWidth="1"/>
    <col min="9749" max="9750" width="7.5703125" style="236" customWidth="1"/>
    <col min="9751" max="9752" width="8.42578125" style="236" customWidth="1"/>
    <col min="9753" max="9753" width="6.7109375" style="236" customWidth="1"/>
    <col min="9754" max="9754" width="7.5703125" style="236" customWidth="1"/>
    <col min="9755" max="9994" width="6.28515625" style="236"/>
    <col min="9995" max="9995" width="43.5703125" style="236" customWidth="1"/>
    <col min="9996" max="9996" width="7.5703125" style="236" customWidth="1"/>
    <col min="9997" max="9998" width="8.42578125" style="236" customWidth="1"/>
    <col min="9999" max="9999" width="6.7109375" style="236" customWidth="1"/>
    <col min="10000" max="10001" width="7.5703125" style="236" customWidth="1"/>
    <col min="10002" max="10003" width="8.42578125" style="236" customWidth="1"/>
    <col min="10004" max="10004" width="6.7109375" style="236" customWidth="1"/>
    <col min="10005" max="10006" width="7.5703125" style="236" customWidth="1"/>
    <col min="10007" max="10008" width="8.42578125" style="236" customWidth="1"/>
    <col min="10009" max="10009" width="6.7109375" style="236" customWidth="1"/>
    <col min="10010" max="10010" width="7.5703125" style="236" customWidth="1"/>
    <col min="10011" max="10250" width="6.28515625" style="236"/>
    <col min="10251" max="10251" width="43.5703125" style="236" customWidth="1"/>
    <col min="10252" max="10252" width="7.5703125" style="236" customWidth="1"/>
    <col min="10253" max="10254" width="8.42578125" style="236" customWidth="1"/>
    <col min="10255" max="10255" width="6.7109375" style="236" customWidth="1"/>
    <col min="10256" max="10257" width="7.5703125" style="236" customWidth="1"/>
    <col min="10258" max="10259" width="8.42578125" style="236" customWidth="1"/>
    <col min="10260" max="10260" width="6.7109375" style="236" customWidth="1"/>
    <col min="10261" max="10262" width="7.5703125" style="236" customWidth="1"/>
    <col min="10263" max="10264" width="8.42578125" style="236" customWidth="1"/>
    <col min="10265" max="10265" width="6.7109375" style="236" customWidth="1"/>
    <col min="10266" max="10266" width="7.5703125" style="236" customWidth="1"/>
    <col min="10267" max="10506" width="6.28515625" style="236"/>
    <col min="10507" max="10507" width="43.5703125" style="236" customWidth="1"/>
    <col min="10508" max="10508" width="7.5703125" style="236" customWidth="1"/>
    <col min="10509" max="10510" width="8.42578125" style="236" customWidth="1"/>
    <col min="10511" max="10511" width="6.7109375" style="236" customWidth="1"/>
    <col min="10512" max="10513" width="7.5703125" style="236" customWidth="1"/>
    <col min="10514" max="10515" width="8.42578125" style="236" customWidth="1"/>
    <col min="10516" max="10516" width="6.7109375" style="236" customWidth="1"/>
    <col min="10517" max="10518" width="7.5703125" style="236" customWidth="1"/>
    <col min="10519" max="10520" width="8.42578125" style="236" customWidth="1"/>
    <col min="10521" max="10521" width="6.7109375" style="236" customWidth="1"/>
    <col min="10522" max="10522" width="7.5703125" style="236" customWidth="1"/>
    <col min="10523" max="10762" width="6.28515625" style="236"/>
    <col min="10763" max="10763" width="43.5703125" style="236" customWidth="1"/>
    <col min="10764" max="10764" width="7.5703125" style="236" customWidth="1"/>
    <col min="10765" max="10766" width="8.42578125" style="236" customWidth="1"/>
    <col min="10767" max="10767" width="6.7109375" style="236" customWidth="1"/>
    <col min="10768" max="10769" width="7.5703125" style="236" customWidth="1"/>
    <col min="10770" max="10771" width="8.42578125" style="236" customWidth="1"/>
    <col min="10772" max="10772" width="6.7109375" style="236" customWidth="1"/>
    <col min="10773" max="10774" width="7.5703125" style="236" customWidth="1"/>
    <col min="10775" max="10776" width="8.42578125" style="236" customWidth="1"/>
    <col min="10777" max="10777" width="6.7109375" style="236" customWidth="1"/>
    <col min="10778" max="10778" width="7.5703125" style="236" customWidth="1"/>
    <col min="10779" max="11018" width="6.28515625" style="236"/>
    <col min="11019" max="11019" width="43.5703125" style="236" customWidth="1"/>
    <col min="11020" max="11020" width="7.5703125" style="236" customWidth="1"/>
    <col min="11021" max="11022" width="8.42578125" style="236" customWidth="1"/>
    <col min="11023" max="11023" width="6.7109375" style="236" customWidth="1"/>
    <col min="11024" max="11025" width="7.5703125" style="236" customWidth="1"/>
    <col min="11026" max="11027" width="8.42578125" style="236" customWidth="1"/>
    <col min="11028" max="11028" width="6.7109375" style="236" customWidth="1"/>
    <col min="11029" max="11030" width="7.5703125" style="236" customWidth="1"/>
    <col min="11031" max="11032" width="8.42578125" style="236" customWidth="1"/>
    <col min="11033" max="11033" width="6.7109375" style="236" customWidth="1"/>
    <col min="11034" max="11034" width="7.5703125" style="236" customWidth="1"/>
    <col min="11035" max="11274" width="6.28515625" style="236"/>
    <col min="11275" max="11275" width="43.5703125" style="236" customWidth="1"/>
    <col min="11276" max="11276" width="7.5703125" style="236" customWidth="1"/>
    <col min="11277" max="11278" width="8.42578125" style="236" customWidth="1"/>
    <col min="11279" max="11279" width="6.7109375" style="236" customWidth="1"/>
    <col min="11280" max="11281" width="7.5703125" style="236" customWidth="1"/>
    <col min="11282" max="11283" width="8.42578125" style="236" customWidth="1"/>
    <col min="11284" max="11284" width="6.7109375" style="236" customWidth="1"/>
    <col min="11285" max="11286" width="7.5703125" style="236" customWidth="1"/>
    <col min="11287" max="11288" width="8.42578125" style="236" customWidth="1"/>
    <col min="11289" max="11289" width="6.7109375" style="236" customWidth="1"/>
    <col min="11290" max="11290" width="7.5703125" style="236" customWidth="1"/>
    <col min="11291" max="11530" width="6.28515625" style="236"/>
    <col min="11531" max="11531" width="43.5703125" style="236" customWidth="1"/>
    <col min="11532" max="11532" width="7.5703125" style="236" customWidth="1"/>
    <col min="11533" max="11534" width="8.42578125" style="236" customWidth="1"/>
    <col min="11535" max="11535" width="6.7109375" style="236" customWidth="1"/>
    <col min="11536" max="11537" width="7.5703125" style="236" customWidth="1"/>
    <col min="11538" max="11539" width="8.42578125" style="236" customWidth="1"/>
    <col min="11540" max="11540" width="6.7109375" style="236" customWidth="1"/>
    <col min="11541" max="11542" width="7.5703125" style="236" customWidth="1"/>
    <col min="11543" max="11544" width="8.42578125" style="236" customWidth="1"/>
    <col min="11545" max="11545" width="6.7109375" style="236" customWidth="1"/>
    <col min="11546" max="11546" width="7.5703125" style="236" customWidth="1"/>
    <col min="11547" max="11786" width="6.28515625" style="236"/>
    <col min="11787" max="11787" width="43.5703125" style="236" customWidth="1"/>
    <col min="11788" max="11788" width="7.5703125" style="236" customWidth="1"/>
    <col min="11789" max="11790" width="8.42578125" style="236" customWidth="1"/>
    <col min="11791" max="11791" width="6.7109375" style="236" customWidth="1"/>
    <col min="11792" max="11793" width="7.5703125" style="236" customWidth="1"/>
    <col min="11794" max="11795" width="8.42578125" style="236" customWidth="1"/>
    <col min="11796" max="11796" width="6.7109375" style="236" customWidth="1"/>
    <col min="11797" max="11798" width="7.5703125" style="236" customWidth="1"/>
    <col min="11799" max="11800" width="8.42578125" style="236" customWidth="1"/>
    <col min="11801" max="11801" width="6.7109375" style="236" customWidth="1"/>
    <col min="11802" max="11802" width="7.5703125" style="236" customWidth="1"/>
    <col min="11803" max="12042" width="6.28515625" style="236"/>
    <col min="12043" max="12043" width="43.5703125" style="236" customWidth="1"/>
    <col min="12044" max="12044" width="7.5703125" style="236" customWidth="1"/>
    <col min="12045" max="12046" width="8.42578125" style="236" customWidth="1"/>
    <col min="12047" max="12047" width="6.7109375" style="236" customWidth="1"/>
    <col min="12048" max="12049" width="7.5703125" style="236" customWidth="1"/>
    <col min="12050" max="12051" width="8.42578125" style="236" customWidth="1"/>
    <col min="12052" max="12052" width="6.7109375" style="236" customWidth="1"/>
    <col min="12053" max="12054" width="7.5703125" style="236" customWidth="1"/>
    <col min="12055" max="12056" width="8.42578125" style="236" customWidth="1"/>
    <col min="12057" max="12057" width="6.7109375" style="236" customWidth="1"/>
    <col min="12058" max="12058" width="7.5703125" style="236" customWidth="1"/>
    <col min="12059" max="12298" width="6.28515625" style="236"/>
    <col min="12299" max="12299" width="43.5703125" style="236" customWidth="1"/>
    <col min="12300" max="12300" width="7.5703125" style="236" customWidth="1"/>
    <col min="12301" max="12302" width="8.42578125" style="236" customWidth="1"/>
    <col min="12303" max="12303" width="6.7109375" style="236" customWidth="1"/>
    <col min="12304" max="12305" width="7.5703125" style="236" customWidth="1"/>
    <col min="12306" max="12307" width="8.42578125" style="236" customWidth="1"/>
    <col min="12308" max="12308" width="6.7109375" style="236" customWidth="1"/>
    <col min="12309" max="12310" width="7.5703125" style="236" customWidth="1"/>
    <col min="12311" max="12312" width="8.42578125" style="236" customWidth="1"/>
    <col min="12313" max="12313" width="6.7109375" style="236" customWidth="1"/>
    <col min="12314" max="12314" width="7.5703125" style="236" customWidth="1"/>
    <col min="12315" max="12554" width="6.28515625" style="236"/>
    <col min="12555" max="12555" width="43.5703125" style="236" customWidth="1"/>
    <col min="12556" max="12556" width="7.5703125" style="236" customWidth="1"/>
    <col min="12557" max="12558" width="8.42578125" style="236" customWidth="1"/>
    <col min="12559" max="12559" width="6.7109375" style="236" customWidth="1"/>
    <col min="12560" max="12561" width="7.5703125" style="236" customWidth="1"/>
    <col min="12562" max="12563" width="8.42578125" style="236" customWidth="1"/>
    <col min="12564" max="12564" width="6.7109375" style="236" customWidth="1"/>
    <col min="12565" max="12566" width="7.5703125" style="236" customWidth="1"/>
    <col min="12567" max="12568" width="8.42578125" style="236" customWidth="1"/>
    <col min="12569" max="12569" width="6.7109375" style="236" customWidth="1"/>
    <col min="12570" max="12570" width="7.5703125" style="236" customWidth="1"/>
    <col min="12571" max="12810" width="6.28515625" style="236"/>
    <col min="12811" max="12811" width="43.5703125" style="236" customWidth="1"/>
    <col min="12812" max="12812" width="7.5703125" style="236" customWidth="1"/>
    <col min="12813" max="12814" width="8.42578125" style="236" customWidth="1"/>
    <col min="12815" max="12815" width="6.7109375" style="236" customWidth="1"/>
    <col min="12816" max="12817" width="7.5703125" style="236" customWidth="1"/>
    <col min="12818" max="12819" width="8.42578125" style="236" customWidth="1"/>
    <col min="12820" max="12820" width="6.7109375" style="236" customWidth="1"/>
    <col min="12821" max="12822" width="7.5703125" style="236" customWidth="1"/>
    <col min="12823" max="12824" width="8.42578125" style="236" customWidth="1"/>
    <col min="12825" max="12825" width="6.7109375" style="236" customWidth="1"/>
    <col min="12826" max="12826" width="7.5703125" style="236" customWidth="1"/>
    <col min="12827" max="13066" width="6.28515625" style="236"/>
    <col min="13067" max="13067" width="43.5703125" style="236" customWidth="1"/>
    <col min="13068" max="13068" width="7.5703125" style="236" customWidth="1"/>
    <col min="13069" max="13070" width="8.42578125" style="236" customWidth="1"/>
    <col min="13071" max="13071" width="6.7109375" style="236" customWidth="1"/>
    <col min="13072" max="13073" width="7.5703125" style="236" customWidth="1"/>
    <col min="13074" max="13075" width="8.42578125" style="236" customWidth="1"/>
    <col min="13076" max="13076" width="6.7109375" style="236" customWidth="1"/>
    <col min="13077" max="13078" width="7.5703125" style="236" customWidth="1"/>
    <col min="13079" max="13080" width="8.42578125" style="236" customWidth="1"/>
    <col min="13081" max="13081" width="6.7109375" style="236" customWidth="1"/>
    <col min="13082" max="13082" width="7.5703125" style="236" customWidth="1"/>
    <col min="13083" max="13322" width="6.28515625" style="236"/>
    <col min="13323" max="13323" width="43.5703125" style="236" customWidth="1"/>
    <col min="13324" max="13324" width="7.5703125" style="236" customWidth="1"/>
    <col min="13325" max="13326" width="8.42578125" style="236" customWidth="1"/>
    <col min="13327" max="13327" width="6.7109375" style="236" customWidth="1"/>
    <col min="13328" max="13329" width="7.5703125" style="236" customWidth="1"/>
    <col min="13330" max="13331" width="8.42578125" style="236" customWidth="1"/>
    <col min="13332" max="13332" width="6.7109375" style="236" customWidth="1"/>
    <col min="13333" max="13334" width="7.5703125" style="236" customWidth="1"/>
    <col min="13335" max="13336" width="8.42578125" style="236" customWidth="1"/>
    <col min="13337" max="13337" width="6.7109375" style="236" customWidth="1"/>
    <col min="13338" max="13338" width="7.5703125" style="236" customWidth="1"/>
    <col min="13339" max="13578" width="6.28515625" style="236"/>
    <col min="13579" max="13579" width="43.5703125" style="236" customWidth="1"/>
    <col min="13580" max="13580" width="7.5703125" style="236" customWidth="1"/>
    <col min="13581" max="13582" width="8.42578125" style="236" customWidth="1"/>
    <col min="13583" max="13583" width="6.7109375" style="236" customWidth="1"/>
    <col min="13584" max="13585" width="7.5703125" style="236" customWidth="1"/>
    <col min="13586" max="13587" width="8.42578125" style="236" customWidth="1"/>
    <col min="13588" max="13588" width="6.7109375" style="236" customWidth="1"/>
    <col min="13589" max="13590" width="7.5703125" style="236" customWidth="1"/>
    <col min="13591" max="13592" width="8.42578125" style="236" customWidth="1"/>
    <col min="13593" max="13593" width="6.7109375" style="236" customWidth="1"/>
    <col min="13594" max="13594" width="7.5703125" style="236" customWidth="1"/>
    <col min="13595" max="13834" width="6.28515625" style="236"/>
    <col min="13835" max="13835" width="43.5703125" style="236" customWidth="1"/>
    <col min="13836" max="13836" width="7.5703125" style="236" customWidth="1"/>
    <col min="13837" max="13838" width="8.42578125" style="236" customWidth="1"/>
    <col min="13839" max="13839" width="6.7109375" style="236" customWidth="1"/>
    <col min="13840" max="13841" width="7.5703125" style="236" customWidth="1"/>
    <col min="13842" max="13843" width="8.42578125" style="236" customWidth="1"/>
    <col min="13844" max="13844" width="6.7109375" style="236" customWidth="1"/>
    <col min="13845" max="13846" width="7.5703125" style="236" customWidth="1"/>
    <col min="13847" max="13848" width="8.42578125" style="236" customWidth="1"/>
    <col min="13849" max="13849" width="6.7109375" style="236" customWidth="1"/>
    <col min="13850" max="13850" width="7.5703125" style="236" customWidth="1"/>
    <col min="13851" max="14090" width="6.28515625" style="236"/>
    <col min="14091" max="14091" width="43.5703125" style="236" customWidth="1"/>
    <col min="14092" max="14092" width="7.5703125" style="236" customWidth="1"/>
    <col min="14093" max="14094" width="8.42578125" style="236" customWidth="1"/>
    <col min="14095" max="14095" width="6.7109375" style="236" customWidth="1"/>
    <col min="14096" max="14097" width="7.5703125" style="236" customWidth="1"/>
    <col min="14098" max="14099" width="8.42578125" style="236" customWidth="1"/>
    <col min="14100" max="14100" width="6.7109375" style="236" customWidth="1"/>
    <col min="14101" max="14102" width="7.5703125" style="236" customWidth="1"/>
    <col min="14103" max="14104" width="8.42578125" style="236" customWidth="1"/>
    <col min="14105" max="14105" width="6.7109375" style="236" customWidth="1"/>
    <col min="14106" max="14106" width="7.5703125" style="236" customWidth="1"/>
    <col min="14107" max="14346" width="6.28515625" style="236"/>
    <col min="14347" max="14347" width="43.5703125" style="236" customWidth="1"/>
    <col min="14348" max="14348" width="7.5703125" style="236" customWidth="1"/>
    <col min="14349" max="14350" width="8.42578125" style="236" customWidth="1"/>
    <col min="14351" max="14351" width="6.7109375" style="236" customWidth="1"/>
    <col min="14352" max="14353" width="7.5703125" style="236" customWidth="1"/>
    <col min="14354" max="14355" width="8.42578125" style="236" customWidth="1"/>
    <col min="14356" max="14356" width="6.7109375" style="236" customWidth="1"/>
    <col min="14357" max="14358" width="7.5703125" style="236" customWidth="1"/>
    <col min="14359" max="14360" width="8.42578125" style="236" customWidth="1"/>
    <col min="14361" max="14361" width="6.7109375" style="236" customWidth="1"/>
    <col min="14362" max="14362" width="7.5703125" style="236" customWidth="1"/>
    <col min="14363" max="14602" width="6.28515625" style="236"/>
    <col min="14603" max="14603" width="43.5703125" style="236" customWidth="1"/>
    <col min="14604" max="14604" width="7.5703125" style="236" customWidth="1"/>
    <col min="14605" max="14606" width="8.42578125" style="236" customWidth="1"/>
    <col min="14607" max="14607" width="6.7109375" style="236" customWidth="1"/>
    <col min="14608" max="14609" width="7.5703125" style="236" customWidth="1"/>
    <col min="14610" max="14611" width="8.42578125" style="236" customWidth="1"/>
    <col min="14612" max="14612" width="6.7109375" style="236" customWidth="1"/>
    <col min="14613" max="14614" width="7.5703125" style="236" customWidth="1"/>
    <col min="14615" max="14616" width="8.42578125" style="236" customWidth="1"/>
    <col min="14617" max="14617" width="6.7109375" style="236" customWidth="1"/>
    <col min="14618" max="14618" width="7.5703125" style="236" customWidth="1"/>
    <col min="14619" max="14858" width="6.28515625" style="236"/>
    <col min="14859" max="14859" width="43.5703125" style="236" customWidth="1"/>
    <col min="14860" max="14860" width="7.5703125" style="236" customWidth="1"/>
    <col min="14861" max="14862" width="8.42578125" style="236" customWidth="1"/>
    <col min="14863" max="14863" width="6.7109375" style="236" customWidth="1"/>
    <col min="14864" max="14865" width="7.5703125" style="236" customWidth="1"/>
    <col min="14866" max="14867" width="8.42578125" style="236" customWidth="1"/>
    <col min="14868" max="14868" width="6.7109375" style="236" customWidth="1"/>
    <col min="14869" max="14870" width="7.5703125" style="236" customWidth="1"/>
    <col min="14871" max="14872" width="8.42578125" style="236" customWidth="1"/>
    <col min="14873" max="14873" width="6.7109375" style="236" customWidth="1"/>
    <col min="14874" max="14874" width="7.5703125" style="236" customWidth="1"/>
    <col min="14875" max="15114" width="6.28515625" style="236"/>
    <col min="15115" max="15115" width="43.5703125" style="236" customWidth="1"/>
    <col min="15116" max="15116" width="7.5703125" style="236" customWidth="1"/>
    <col min="15117" max="15118" width="8.42578125" style="236" customWidth="1"/>
    <col min="15119" max="15119" width="6.7109375" style="236" customWidth="1"/>
    <col min="15120" max="15121" width="7.5703125" style="236" customWidth="1"/>
    <col min="15122" max="15123" width="8.42578125" style="236" customWidth="1"/>
    <col min="15124" max="15124" width="6.7109375" style="236" customWidth="1"/>
    <col min="15125" max="15126" width="7.5703125" style="236" customWidth="1"/>
    <col min="15127" max="15128" width="8.42578125" style="236" customWidth="1"/>
    <col min="15129" max="15129" width="6.7109375" style="236" customWidth="1"/>
    <col min="15130" max="15130" width="7.5703125" style="236" customWidth="1"/>
    <col min="15131" max="15370" width="6.28515625" style="236"/>
    <col min="15371" max="15371" width="43.5703125" style="236" customWidth="1"/>
    <col min="15372" max="15372" width="7.5703125" style="236" customWidth="1"/>
    <col min="15373" max="15374" width="8.42578125" style="236" customWidth="1"/>
    <col min="15375" max="15375" width="6.7109375" style="236" customWidth="1"/>
    <col min="15376" max="15377" width="7.5703125" style="236" customWidth="1"/>
    <col min="15378" max="15379" width="8.42578125" style="236" customWidth="1"/>
    <col min="15380" max="15380" width="6.7109375" style="236" customWidth="1"/>
    <col min="15381" max="15382" width="7.5703125" style="236" customWidth="1"/>
    <col min="15383" max="15384" width="8.42578125" style="236" customWidth="1"/>
    <col min="15385" max="15385" width="6.7109375" style="236" customWidth="1"/>
    <col min="15386" max="15386" width="7.5703125" style="236" customWidth="1"/>
    <col min="15387" max="15626" width="6.28515625" style="236"/>
    <col min="15627" max="15627" width="43.5703125" style="236" customWidth="1"/>
    <col min="15628" max="15628" width="7.5703125" style="236" customWidth="1"/>
    <col min="15629" max="15630" width="8.42578125" style="236" customWidth="1"/>
    <col min="15631" max="15631" width="6.7109375" style="236" customWidth="1"/>
    <col min="15632" max="15633" width="7.5703125" style="236" customWidth="1"/>
    <col min="15634" max="15635" width="8.42578125" style="236" customWidth="1"/>
    <col min="15636" max="15636" width="6.7109375" style="236" customWidth="1"/>
    <col min="15637" max="15638" width="7.5703125" style="236" customWidth="1"/>
    <col min="15639" max="15640" width="8.42578125" style="236" customWidth="1"/>
    <col min="15641" max="15641" width="6.7109375" style="236" customWidth="1"/>
    <col min="15642" max="15642" width="7.5703125" style="236" customWidth="1"/>
    <col min="15643" max="15882" width="6.28515625" style="236"/>
    <col min="15883" max="15883" width="43.5703125" style="236" customWidth="1"/>
    <col min="15884" max="15884" width="7.5703125" style="236" customWidth="1"/>
    <col min="15885" max="15886" width="8.42578125" style="236" customWidth="1"/>
    <col min="15887" max="15887" width="6.7109375" style="236" customWidth="1"/>
    <col min="15888" max="15889" width="7.5703125" style="236" customWidth="1"/>
    <col min="15890" max="15891" width="8.42578125" style="236" customWidth="1"/>
    <col min="15892" max="15892" width="6.7109375" style="236" customWidth="1"/>
    <col min="15893" max="15894" width="7.5703125" style="236" customWidth="1"/>
    <col min="15895" max="15896" width="8.42578125" style="236" customWidth="1"/>
    <col min="15897" max="15897" width="6.7109375" style="236" customWidth="1"/>
    <col min="15898" max="15898" width="7.5703125" style="236" customWidth="1"/>
    <col min="15899" max="16138" width="6.28515625" style="236"/>
    <col min="16139" max="16139" width="43.5703125" style="236" customWidth="1"/>
    <col min="16140" max="16140" width="7.5703125" style="236" customWidth="1"/>
    <col min="16141" max="16142" width="8.42578125" style="236" customWidth="1"/>
    <col min="16143" max="16143" width="6.7109375" style="236" customWidth="1"/>
    <col min="16144" max="16145" width="7.5703125" style="236" customWidth="1"/>
    <col min="16146" max="16147" width="8.42578125" style="236" customWidth="1"/>
    <col min="16148" max="16148" width="6.7109375" style="236" customWidth="1"/>
    <col min="16149" max="16150" width="7.5703125" style="236" customWidth="1"/>
    <col min="16151" max="16152" width="8.42578125" style="236" customWidth="1"/>
    <col min="16153" max="16153" width="6.7109375" style="236" customWidth="1"/>
    <col min="16154" max="16154" width="7.5703125" style="236" customWidth="1"/>
    <col min="16155" max="16384" width="6.28515625" style="236"/>
  </cols>
  <sheetData>
    <row r="1" spans="1:25" ht="15.75">
      <c r="A1" s="18" t="str">
        <f>CONCATENATE("Industry Table 6  Employment status by Industry (SIC 2007) and Gender, ",B$5,"-",V$5,", ",Info!B5)</f>
        <v>Industry Table 6  Employment status by Industry (SIC 2007) and Gender, 2015-2035, Black Country</v>
      </c>
    </row>
    <row r="2" spans="1:25">
      <c r="A2" s="1" t="s">
        <v>125</v>
      </c>
    </row>
    <row r="4" spans="1:25">
      <c r="A4" s="240"/>
      <c r="B4" s="286"/>
      <c r="C4" s="287"/>
      <c r="D4" s="286"/>
      <c r="E4" s="286"/>
      <c r="F4" s="286"/>
      <c r="G4" s="286"/>
      <c r="H4" s="286"/>
      <c r="I4" s="286"/>
      <c r="J4" s="286"/>
      <c r="K4" s="286"/>
      <c r="L4" s="286"/>
      <c r="M4" s="286"/>
      <c r="N4" s="286"/>
      <c r="O4" s="286"/>
      <c r="P4" s="286"/>
      <c r="Q4" s="286"/>
      <c r="R4" s="286"/>
      <c r="S4" s="286"/>
      <c r="T4" s="286"/>
      <c r="U4" s="286"/>
      <c r="V4" s="286"/>
      <c r="W4" s="286"/>
      <c r="X4" s="286"/>
      <c r="Y4" s="286" t="s">
        <v>112</v>
      </c>
    </row>
    <row r="5" spans="1:25" ht="15">
      <c r="A5" s="241" t="str">
        <f>"Industry 1 : "&amp; name!B4</f>
        <v>Industry 1 : Agriculture</v>
      </c>
      <c r="B5" s="346">
        <v>2015</v>
      </c>
      <c r="C5" s="346"/>
      <c r="D5" s="346"/>
      <c r="E5" s="346"/>
      <c r="F5" s="288"/>
      <c r="G5" s="346">
        <v>2019</v>
      </c>
      <c r="H5" s="346"/>
      <c r="I5" s="346"/>
      <c r="J5" s="346"/>
      <c r="K5" s="289"/>
      <c r="L5" s="346">
        <v>2020</v>
      </c>
      <c r="M5" s="346"/>
      <c r="N5" s="346"/>
      <c r="O5" s="346"/>
      <c r="P5" s="289"/>
      <c r="Q5" s="346">
        <v>2025</v>
      </c>
      <c r="R5" s="346"/>
      <c r="S5" s="346"/>
      <c r="T5" s="346"/>
      <c r="U5" s="288"/>
      <c r="V5" s="346">
        <v>2035</v>
      </c>
      <c r="W5" s="346"/>
      <c r="X5" s="346"/>
      <c r="Y5" s="346"/>
    </row>
    <row r="6" spans="1:25">
      <c r="A6" s="243"/>
      <c r="B6" s="244" t="str">
        <f>name!$J$5</f>
        <v>FT</v>
      </c>
      <c r="C6" s="244" t="str">
        <f>name!$J$6</f>
        <v>PT</v>
      </c>
      <c r="D6" s="244" t="str">
        <f>name!$J$4</f>
        <v>SE</v>
      </c>
      <c r="E6" s="244" t="s">
        <v>117</v>
      </c>
      <c r="F6" s="244"/>
      <c r="G6" s="244" t="str">
        <f>name!$J$5</f>
        <v>FT</v>
      </c>
      <c r="H6" s="244" t="str">
        <f>name!$J$6</f>
        <v>PT</v>
      </c>
      <c r="I6" s="244" t="str">
        <f>name!$J$4</f>
        <v>SE</v>
      </c>
      <c r="J6" s="244" t="s">
        <v>117</v>
      </c>
      <c r="K6" s="244"/>
      <c r="L6" s="244" t="str">
        <f>name!$J$5</f>
        <v>FT</v>
      </c>
      <c r="M6" s="244" t="str">
        <f>name!$J$6</f>
        <v>PT</v>
      </c>
      <c r="N6" s="244" t="str">
        <f>name!$J$4</f>
        <v>SE</v>
      </c>
      <c r="O6" s="244" t="s">
        <v>117</v>
      </c>
      <c r="P6" s="244"/>
      <c r="Q6" s="244" t="str">
        <f>name!$J$5</f>
        <v>FT</v>
      </c>
      <c r="R6" s="244" t="str">
        <f>name!$J$6</f>
        <v>PT</v>
      </c>
      <c r="S6" s="244" t="str">
        <f>name!$J$4</f>
        <v>SE</v>
      </c>
      <c r="T6" s="244" t="s">
        <v>117</v>
      </c>
      <c r="U6" s="244"/>
      <c r="V6" s="244" t="str">
        <f>name!$J$5</f>
        <v>FT</v>
      </c>
      <c r="W6" s="244" t="str">
        <f>name!$J$6</f>
        <v>PT</v>
      </c>
      <c r="X6" s="244" t="str">
        <f>name!$J$4</f>
        <v>SE</v>
      </c>
      <c r="Y6" s="244" t="s">
        <v>117</v>
      </c>
    </row>
    <row r="7" spans="1:25">
      <c r="A7" s="245"/>
      <c r="C7" s="290"/>
      <c r="D7" s="290"/>
      <c r="E7" s="290"/>
      <c r="F7" s="290"/>
      <c r="G7" s="290"/>
      <c r="H7" s="290"/>
      <c r="I7" s="290"/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0"/>
      <c r="V7" s="290"/>
      <c r="W7" s="290"/>
      <c r="X7" s="290"/>
      <c r="Y7" s="290"/>
    </row>
    <row r="8" spans="1:25">
      <c r="A8" s="236" t="s">
        <v>142</v>
      </c>
      <c r="B8" s="276">
        <v>0.32995821048067897</v>
      </c>
      <c r="C8" s="276">
        <v>0.22346414386412669</v>
      </c>
      <c r="D8" s="276">
        <v>0.18098211457926652</v>
      </c>
      <c r="E8" s="276">
        <f>SUM(B8:D8)</f>
        <v>0.73440446892407218</v>
      </c>
      <c r="F8" s="276"/>
      <c r="G8" s="276">
        <v>0.22406784022152432</v>
      </c>
      <c r="H8" s="276">
        <v>0.14953453418365761</v>
      </c>
      <c r="I8" s="276">
        <v>0.23656804492187933</v>
      </c>
      <c r="J8" s="276">
        <f>SUM(G8:I8)</f>
        <v>0.61017041932706129</v>
      </c>
      <c r="K8" s="276"/>
      <c r="L8" s="276">
        <v>0.20494197037121709</v>
      </c>
      <c r="M8" s="276">
        <v>9.9015254761127495E-3</v>
      </c>
      <c r="N8" s="276">
        <v>0.15210115619465153</v>
      </c>
      <c r="O8" s="276">
        <f>SUM(L8:N8)</f>
        <v>0.36694465204198135</v>
      </c>
      <c r="P8" s="276"/>
      <c r="Q8" s="276">
        <v>0.22218474704926652</v>
      </c>
      <c r="R8" s="276">
        <v>1.0422854266681899E-2</v>
      </c>
      <c r="S8" s="276">
        <v>0.16727410017766928</v>
      </c>
      <c r="T8" s="276">
        <f>SUM(Q8:S8)</f>
        <v>0.39988170149361768</v>
      </c>
      <c r="U8" s="276"/>
      <c r="V8" s="276">
        <v>0.22095073520856837</v>
      </c>
      <c r="W8" s="276">
        <v>9.6198315951649613E-3</v>
      </c>
      <c r="X8" s="276">
        <v>0.17147731557159412</v>
      </c>
      <c r="Y8" s="276">
        <f>SUM(V8:X8)</f>
        <v>0.40204788237532746</v>
      </c>
    </row>
    <row r="9" spans="1:25">
      <c r="A9" s="236" t="s">
        <v>141</v>
      </c>
      <c r="B9" s="276">
        <v>0.91957698773851959</v>
      </c>
      <c r="C9" s="276">
        <v>0.22779904481137506</v>
      </c>
      <c r="D9" s="276">
        <v>1.0832194985260282</v>
      </c>
      <c r="E9" s="276">
        <f t="shared" ref="E9:E10" si="0">SUM(B9:D9)</f>
        <v>2.2305955310759229</v>
      </c>
      <c r="F9" s="276"/>
      <c r="G9" s="276">
        <v>0.93042967424711187</v>
      </c>
      <c r="H9" s="276">
        <v>0.10909269547924341</v>
      </c>
      <c r="I9" s="276">
        <v>0.63630721094658538</v>
      </c>
      <c r="J9" s="276">
        <f t="shared" ref="J9:J10" si="1">SUM(G9:I9)</f>
        <v>1.6758295806729406</v>
      </c>
      <c r="K9" s="276"/>
      <c r="L9" s="276">
        <v>0.36218995912100899</v>
      </c>
      <c r="M9" s="276">
        <v>9.1662636832458826E-3</v>
      </c>
      <c r="N9" s="276">
        <v>0.37669912515376269</v>
      </c>
      <c r="O9" s="276">
        <f t="shared" ref="O9:O10" si="2">SUM(L9:N9)</f>
        <v>0.74805534795801754</v>
      </c>
      <c r="P9" s="276"/>
      <c r="Q9" s="276">
        <v>0.40593204128590366</v>
      </c>
      <c r="R9" s="276">
        <v>1.0016108734118519E-2</v>
      </c>
      <c r="S9" s="276">
        <v>0.39617014848636095</v>
      </c>
      <c r="T9" s="276">
        <f t="shared" ref="T9:T10" si="3">SUM(Q9:S9)</f>
        <v>0.81211829850638306</v>
      </c>
      <c r="U9" s="276"/>
      <c r="V9" s="276">
        <v>0.43798227976021364</v>
      </c>
      <c r="W9" s="276">
        <v>1.0027020233892937E-2</v>
      </c>
      <c r="X9" s="276">
        <v>0.36494281763056435</v>
      </c>
      <c r="Y9" s="276">
        <f t="shared" ref="Y9:Y10" si="4">SUM(V9:X9)</f>
        <v>0.81295211762467101</v>
      </c>
    </row>
    <row r="10" spans="1:25">
      <c r="A10" s="240" t="s">
        <v>143</v>
      </c>
      <c r="B10" s="277">
        <f>SUM(B8:B9)</f>
        <v>1.2495351982191987</v>
      </c>
      <c r="C10" s="277">
        <f t="shared" ref="C10:D10" si="5">SUM(C8:C9)</f>
        <v>0.45126318867550175</v>
      </c>
      <c r="D10" s="277">
        <f t="shared" si="5"/>
        <v>1.2642016131052947</v>
      </c>
      <c r="E10" s="277">
        <f t="shared" si="0"/>
        <v>2.9649999999999954</v>
      </c>
      <c r="F10" s="277"/>
      <c r="G10" s="277">
        <f>SUM(G8:G9)</f>
        <v>1.1544975144686362</v>
      </c>
      <c r="H10" s="277">
        <f t="shared" ref="H10" si="6">SUM(H8:H9)</f>
        <v>0.25862722966290103</v>
      </c>
      <c r="I10" s="277">
        <f t="shared" ref="I10" si="7">SUM(I8:I9)</f>
        <v>0.87287525586846471</v>
      </c>
      <c r="J10" s="277">
        <f t="shared" si="1"/>
        <v>2.2860000000000023</v>
      </c>
      <c r="K10" s="277"/>
      <c r="L10" s="277">
        <f>SUM(L8:L9)</f>
        <v>0.56713192949222613</v>
      </c>
      <c r="M10" s="277">
        <f t="shared" ref="M10" si="8">SUM(M8:M9)</f>
        <v>1.9067789159358632E-2</v>
      </c>
      <c r="N10" s="277">
        <f t="shared" ref="N10" si="9">SUM(N8:N9)</f>
        <v>0.52880028134841428</v>
      </c>
      <c r="O10" s="277">
        <f t="shared" si="2"/>
        <v>1.1149999999999989</v>
      </c>
      <c r="P10" s="277"/>
      <c r="Q10" s="277">
        <f>SUM(Q8:Q9)</f>
        <v>0.62811678833517015</v>
      </c>
      <c r="R10" s="277">
        <f t="shared" ref="R10" si="10">SUM(R8:R9)</f>
        <v>2.043896300080042E-2</v>
      </c>
      <c r="S10" s="277">
        <f t="shared" ref="S10" si="11">SUM(S8:S9)</f>
        <v>0.5634442486640302</v>
      </c>
      <c r="T10" s="277">
        <f t="shared" si="3"/>
        <v>1.2120000000000006</v>
      </c>
      <c r="U10" s="277"/>
      <c r="V10" s="277">
        <f>SUM(V8:V9)</f>
        <v>0.65893301496878198</v>
      </c>
      <c r="W10" s="277">
        <f t="shared" ref="W10" si="12">SUM(W8:W9)</f>
        <v>1.9646851829057899E-2</v>
      </c>
      <c r="X10" s="277">
        <f t="shared" ref="X10" si="13">SUM(X8:X9)</f>
        <v>0.53642013320215853</v>
      </c>
      <c r="Y10" s="277">
        <f t="shared" si="4"/>
        <v>1.2149999999999985</v>
      </c>
    </row>
    <row r="12" spans="1:25">
      <c r="A12" s="237"/>
    </row>
    <row r="13" spans="1:25">
      <c r="C13" s="239"/>
    </row>
    <row r="14" spans="1:25" ht="15">
      <c r="A14" s="241" t="str">
        <f>"Industry 2 : "&amp; name!B5</f>
        <v>Industry 2 : Mining and quarrying</v>
      </c>
      <c r="B14" s="346">
        <f>$B$5</f>
        <v>2015</v>
      </c>
      <c r="C14" s="346"/>
      <c r="D14" s="346"/>
      <c r="E14" s="346"/>
      <c r="F14" s="291"/>
      <c r="G14" s="346">
        <f>$G$5</f>
        <v>2019</v>
      </c>
      <c r="H14" s="346"/>
      <c r="I14" s="346"/>
      <c r="J14" s="346"/>
      <c r="K14" s="291"/>
      <c r="L14" s="346">
        <f>$L$5</f>
        <v>2020</v>
      </c>
      <c r="M14" s="346"/>
      <c r="N14" s="346"/>
      <c r="O14" s="346"/>
      <c r="P14" s="289"/>
      <c r="Q14" s="346">
        <f>$Q$5</f>
        <v>2025</v>
      </c>
      <c r="R14" s="346"/>
      <c r="S14" s="346"/>
      <c r="T14" s="346"/>
      <c r="U14" s="291"/>
      <c r="V14" s="346">
        <f>$V$5</f>
        <v>2035</v>
      </c>
      <c r="W14" s="346"/>
      <c r="X14" s="346"/>
      <c r="Y14" s="346"/>
    </row>
    <row r="15" spans="1:25">
      <c r="A15" s="240"/>
      <c r="B15" s="244" t="str">
        <f>$B$6</f>
        <v>FT</v>
      </c>
      <c r="C15" s="244" t="str">
        <f>$C$6</f>
        <v>PT</v>
      </c>
      <c r="D15" s="244" t="str">
        <f>$D$6</f>
        <v>SE</v>
      </c>
      <c r="E15" s="244" t="str">
        <f>$E$6</f>
        <v>Total</v>
      </c>
      <c r="F15" s="244"/>
      <c r="G15" s="244" t="str">
        <f>$B$6</f>
        <v>FT</v>
      </c>
      <c r="H15" s="244" t="str">
        <f>$C$6</f>
        <v>PT</v>
      </c>
      <c r="I15" s="244" t="str">
        <f>$D$6</f>
        <v>SE</v>
      </c>
      <c r="J15" s="244" t="str">
        <f>$E$6</f>
        <v>Total</v>
      </c>
      <c r="K15" s="244"/>
      <c r="L15" s="244" t="str">
        <f>$L$6</f>
        <v>FT</v>
      </c>
      <c r="M15" s="244" t="str">
        <f>$M$6</f>
        <v>PT</v>
      </c>
      <c r="N15" s="244" t="str">
        <f>$N$6</f>
        <v>SE</v>
      </c>
      <c r="O15" s="244" t="str">
        <f>$O$6</f>
        <v>Total</v>
      </c>
      <c r="P15" s="244"/>
      <c r="Q15" s="244" t="str">
        <f>$L$6</f>
        <v>FT</v>
      </c>
      <c r="R15" s="244" t="str">
        <f>$M$6</f>
        <v>PT</v>
      </c>
      <c r="S15" s="244" t="str">
        <f>$N$6</f>
        <v>SE</v>
      </c>
      <c r="T15" s="244" t="str">
        <f>$O$6</f>
        <v>Total</v>
      </c>
      <c r="U15" s="244"/>
      <c r="V15" s="244" t="str">
        <f>$V$6</f>
        <v>FT</v>
      </c>
      <c r="W15" s="244" t="str">
        <f>$W$6</f>
        <v>PT</v>
      </c>
      <c r="X15" s="244" t="str">
        <f>$X$6</f>
        <v>SE</v>
      </c>
      <c r="Y15" s="244" t="str">
        <f>$Y$6</f>
        <v>Total</v>
      </c>
    </row>
    <row r="16" spans="1:25">
      <c r="C16" s="290"/>
      <c r="D16" s="290"/>
      <c r="E16" s="290"/>
      <c r="F16" s="290"/>
      <c r="G16" s="290"/>
      <c r="H16" s="290"/>
      <c r="I16" s="290"/>
      <c r="J16" s="290"/>
      <c r="K16" s="290"/>
      <c r="L16" s="290"/>
      <c r="M16" s="290"/>
      <c r="N16" s="290"/>
      <c r="O16" s="290"/>
      <c r="P16" s="290"/>
      <c r="Q16" s="290"/>
      <c r="R16" s="290"/>
      <c r="S16" s="290"/>
      <c r="T16" s="290"/>
      <c r="U16" s="290"/>
      <c r="V16" s="290"/>
      <c r="W16" s="290"/>
      <c r="X16" s="290"/>
      <c r="Y16" s="290"/>
    </row>
    <row r="17" spans="1:25">
      <c r="A17" s="236" t="s">
        <v>142</v>
      </c>
      <c r="B17" s="276">
        <v>9.3913043478010064E-3</v>
      </c>
      <c r="C17" s="276">
        <v>1.3873517786695609E-3</v>
      </c>
      <c r="D17" s="276">
        <v>1.0671936759007293E-4</v>
      </c>
      <c r="E17" s="276">
        <f>SUM(B17:D17)</f>
        <v>1.0885375494060641E-2</v>
      </c>
      <c r="F17" s="276"/>
      <c r="G17" s="276">
        <v>1.0315952275815117E-2</v>
      </c>
      <c r="H17" s="276">
        <v>4.8055678303204011E-3</v>
      </c>
      <c r="I17" s="276">
        <v>6.4074237738840804E-5</v>
      </c>
      <c r="J17" s="276">
        <f>SUM(G17:I17)</f>
        <v>1.518559434387436E-2</v>
      </c>
      <c r="K17" s="276"/>
      <c r="L17" s="276">
        <v>2.2003768844478837E-2</v>
      </c>
      <c r="M17" s="276">
        <v>3.3752093802494141E-3</v>
      </c>
      <c r="N17" s="276">
        <v>0</v>
      </c>
      <c r="O17" s="276">
        <f>SUM(L17:N17)</f>
        <v>2.5378978224728253E-2</v>
      </c>
      <c r="P17" s="276"/>
      <c r="Q17" s="276">
        <v>1.5414756847844269E-2</v>
      </c>
      <c r="R17" s="276">
        <v>2.4371157071086153E-3</v>
      </c>
      <c r="S17" s="276">
        <v>0</v>
      </c>
      <c r="T17" s="276">
        <f>SUM(Q17:S17)</f>
        <v>1.7851872554952884E-2</v>
      </c>
      <c r="U17" s="276"/>
      <c r="V17" s="276">
        <v>8.633130962986282E-3</v>
      </c>
      <c r="W17" s="276">
        <v>1.4752818733785964E-3</v>
      </c>
      <c r="X17" s="276">
        <v>0</v>
      </c>
      <c r="Y17" s="276">
        <f>SUM(V17:X17)</f>
        <v>1.0108412836364879E-2</v>
      </c>
    </row>
    <row r="18" spans="1:25">
      <c r="A18" s="236" t="s">
        <v>141</v>
      </c>
      <c r="B18" s="276">
        <v>6.520553359714007E-2</v>
      </c>
      <c r="C18" s="276">
        <v>2.1343873517934761E-4</v>
      </c>
      <c r="D18" s="276">
        <v>8.5695652173620157E-2</v>
      </c>
      <c r="E18" s="276">
        <f t="shared" ref="E18:E19" si="14">SUM(B18:D18)</f>
        <v>0.15111462450593957</v>
      </c>
      <c r="F18" s="276"/>
      <c r="G18" s="276">
        <v>8.2976137869658087E-2</v>
      </c>
      <c r="H18" s="276">
        <v>1.217410517014081E-3</v>
      </c>
      <c r="I18" s="276">
        <v>4.5620857269453488E-2</v>
      </c>
      <c r="J18" s="276">
        <f t="shared" ref="J18:J19" si="15">SUM(G18:I18)</f>
        <v>0.12981440565612568</v>
      </c>
      <c r="K18" s="276"/>
      <c r="L18" s="276">
        <v>0.12747906197626596</v>
      </c>
      <c r="M18" s="276">
        <v>2.1419597990060472E-3</v>
      </c>
      <c r="N18" s="276">
        <v>0</v>
      </c>
      <c r="O18" s="276">
        <f t="shared" ref="O18:O19" si="16">SUM(L18:N18)</f>
        <v>0.12962102177527202</v>
      </c>
      <c r="P18" s="276"/>
      <c r="Q18" s="276">
        <v>8.9624930128112429E-2</v>
      </c>
      <c r="R18" s="276">
        <v>1.5231973169345851E-3</v>
      </c>
      <c r="S18" s="276">
        <v>0</v>
      </c>
      <c r="T18" s="276">
        <f t="shared" ref="T18:T19" si="17">SUM(Q18:S18)</f>
        <v>9.1148127445047009E-2</v>
      </c>
      <c r="U18" s="276"/>
      <c r="V18" s="276">
        <v>5.1908065914720768E-2</v>
      </c>
      <c r="W18" s="276">
        <v>9.8352124891430063E-4</v>
      </c>
      <c r="X18" s="276">
        <v>0</v>
      </c>
      <c r="Y18" s="276">
        <f t="shared" ref="Y18:Y19" si="18">SUM(V18:X18)</f>
        <v>5.2891587163635068E-2</v>
      </c>
    </row>
    <row r="19" spans="1:25">
      <c r="A19" s="240" t="s">
        <v>143</v>
      </c>
      <c r="B19" s="277">
        <f>SUM(B17:B18)</f>
        <v>7.4596837944941069E-2</v>
      </c>
      <c r="C19" s="277">
        <f t="shared" ref="C19" si="19">SUM(C17:C18)</f>
        <v>1.6007905138489085E-3</v>
      </c>
      <c r="D19" s="277">
        <f t="shared" ref="D19" si="20">SUM(D17:D18)</f>
        <v>8.5802371541210232E-2</v>
      </c>
      <c r="E19" s="277">
        <f t="shared" si="14"/>
        <v>0.1620000000000002</v>
      </c>
      <c r="F19" s="277"/>
      <c r="G19" s="277">
        <f>SUM(G17:G18)</f>
        <v>9.3292090145473211E-2</v>
      </c>
      <c r="H19" s="277">
        <f t="shared" ref="H19" si="21">SUM(H17:H18)</f>
        <v>6.0229783473344824E-3</v>
      </c>
      <c r="I19" s="277">
        <f t="shared" ref="I19" si="22">SUM(I17:I18)</f>
        <v>4.5684931507192328E-2</v>
      </c>
      <c r="J19" s="277">
        <f t="shared" si="15"/>
        <v>0.14500000000000002</v>
      </c>
      <c r="K19" s="277"/>
      <c r="L19" s="277">
        <f>SUM(L17:L18)</f>
        <v>0.14948283082074479</v>
      </c>
      <c r="M19" s="277">
        <f t="shared" ref="M19" si="23">SUM(M17:M18)</f>
        <v>5.5171691792554618E-3</v>
      </c>
      <c r="N19" s="277">
        <f t="shared" ref="N19" si="24">SUM(N17:N18)</f>
        <v>0</v>
      </c>
      <c r="O19" s="277">
        <f t="shared" si="16"/>
        <v>0.15500000000000025</v>
      </c>
      <c r="P19" s="277"/>
      <c r="Q19" s="277">
        <f>SUM(Q17:Q18)</f>
        <v>0.1050396869759567</v>
      </c>
      <c r="R19" s="277">
        <f t="shared" ref="R19" si="25">SUM(R17:R18)</f>
        <v>3.9603130240432006E-3</v>
      </c>
      <c r="S19" s="277">
        <f t="shared" ref="S19" si="26">SUM(S17:S18)</f>
        <v>0</v>
      </c>
      <c r="T19" s="277">
        <f t="shared" si="17"/>
        <v>0.1089999999999999</v>
      </c>
      <c r="U19" s="277"/>
      <c r="V19" s="277">
        <f>SUM(V17:V18)</f>
        <v>6.0541196877707051E-2</v>
      </c>
      <c r="W19" s="277">
        <f t="shared" ref="W19" si="27">SUM(W17:W18)</f>
        <v>2.458803122292897E-3</v>
      </c>
      <c r="X19" s="277">
        <f t="shared" ref="X19" si="28">SUM(X17:X18)</f>
        <v>0</v>
      </c>
      <c r="Y19" s="277">
        <f t="shared" si="18"/>
        <v>6.2999999999999945E-2</v>
      </c>
    </row>
    <row r="20" spans="1:25">
      <c r="A20" s="238"/>
    </row>
    <row r="21" spans="1:25">
      <c r="A21" s="238"/>
    </row>
    <row r="22" spans="1:25">
      <c r="A22" s="238"/>
    </row>
    <row r="23" spans="1:25" ht="15">
      <c r="A23" s="241" t="str">
        <f>"Industry 3 : "&amp; name!B6</f>
        <v>Industry 3 : Food drink and tobacco</v>
      </c>
      <c r="B23" s="346">
        <f>$B$5</f>
        <v>2015</v>
      </c>
      <c r="C23" s="346"/>
      <c r="D23" s="346"/>
      <c r="E23" s="346"/>
      <c r="F23" s="291"/>
      <c r="G23" s="346">
        <f>$G$5</f>
        <v>2019</v>
      </c>
      <c r="H23" s="346"/>
      <c r="I23" s="346"/>
      <c r="J23" s="346"/>
      <c r="K23" s="291"/>
      <c r="L23" s="346">
        <f>$L$5</f>
        <v>2020</v>
      </c>
      <c r="M23" s="346"/>
      <c r="N23" s="346"/>
      <c r="O23" s="346"/>
      <c r="P23" s="289"/>
      <c r="Q23" s="346">
        <f>$Q$5</f>
        <v>2025</v>
      </c>
      <c r="R23" s="346"/>
      <c r="S23" s="346"/>
      <c r="T23" s="346"/>
      <c r="U23" s="291"/>
      <c r="V23" s="346">
        <f>$V$5</f>
        <v>2035</v>
      </c>
      <c r="W23" s="346"/>
      <c r="X23" s="346"/>
      <c r="Y23" s="346"/>
    </row>
    <row r="24" spans="1:25">
      <c r="A24" s="240"/>
      <c r="B24" s="244" t="str">
        <f>$B$6</f>
        <v>FT</v>
      </c>
      <c r="C24" s="244" t="str">
        <f>$C$6</f>
        <v>PT</v>
      </c>
      <c r="D24" s="244" t="str">
        <f>$D$6</f>
        <v>SE</v>
      </c>
      <c r="E24" s="244" t="str">
        <f>$E$6</f>
        <v>Total</v>
      </c>
      <c r="F24" s="244"/>
      <c r="G24" s="244" t="str">
        <f>$B$6</f>
        <v>FT</v>
      </c>
      <c r="H24" s="244" t="str">
        <f>$C$6</f>
        <v>PT</v>
      </c>
      <c r="I24" s="244" t="str">
        <f>$D$6</f>
        <v>SE</v>
      </c>
      <c r="J24" s="244" t="str">
        <f>$E$6</f>
        <v>Total</v>
      </c>
      <c r="K24" s="244"/>
      <c r="L24" s="244" t="str">
        <f>$L$6</f>
        <v>FT</v>
      </c>
      <c r="M24" s="244" t="str">
        <f>$M$6</f>
        <v>PT</v>
      </c>
      <c r="N24" s="244" t="str">
        <f>$N$6</f>
        <v>SE</v>
      </c>
      <c r="O24" s="244" t="str">
        <f>$O$6</f>
        <v>Total</v>
      </c>
      <c r="P24" s="244"/>
      <c r="Q24" s="244" t="str">
        <f>$L$6</f>
        <v>FT</v>
      </c>
      <c r="R24" s="244" t="str">
        <f>$M$6</f>
        <v>PT</v>
      </c>
      <c r="S24" s="244" t="str">
        <f>$N$6</f>
        <v>SE</v>
      </c>
      <c r="T24" s="244" t="str">
        <f>$O$6</f>
        <v>Total</v>
      </c>
      <c r="U24" s="244"/>
      <c r="V24" s="244" t="str">
        <f>$V$6</f>
        <v>FT</v>
      </c>
      <c r="W24" s="244" t="str">
        <f>$W$6</f>
        <v>PT</v>
      </c>
      <c r="X24" s="244" t="str">
        <f>$X$6</f>
        <v>SE</v>
      </c>
      <c r="Y24" s="244" t="str">
        <f>$Y$6</f>
        <v>Total</v>
      </c>
    </row>
    <row r="25" spans="1:25">
      <c r="C25" s="290"/>
      <c r="D25" s="290"/>
      <c r="E25" s="290"/>
      <c r="F25" s="290"/>
      <c r="G25" s="290"/>
      <c r="H25" s="290"/>
      <c r="I25" s="290"/>
      <c r="J25" s="290"/>
      <c r="K25" s="290"/>
      <c r="L25" s="290"/>
      <c r="M25" s="290"/>
      <c r="N25" s="290"/>
      <c r="O25" s="290"/>
      <c r="P25" s="290"/>
      <c r="Q25" s="290"/>
      <c r="R25" s="290"/>
      <c r="S25" s="290"/>
      <c r="T25" s="290"/>
      <c r="U25" s="290"/>
      <c r="V25" s="290"/>
      <c r="W25" s="290"/>
      <c r="X25" s="290"/>
      <c r="Y25" s="290"/>
    </row>
    <row r="26" spans="1:25">
      <c r="A26" s="236" t="s">
        <v>142</v>
      </c>
      <c r="B26" s="276">
        <v>1.7083702571709329</v>
      </c>
      <c r="C26" s="276">
        <v>0.45347087618524834</v>
      </c>
      <c r="D26" s="276">
        <v>0.11931532464952263</v>
      </c>
      <c r="E26" s="276">
        <f>SUM(B26:D26)</f>
        <v>2.2811564580057038</v>
      </c>
      <c r="F26" s="276"/>
      <c r="G26" s="276">
        <v>1.5875249042055317</v>
      </c>
      <c r="H26" s="276">
        <v>0.41823476141612487</v>
      </c>
      <c r="I26" s="276">
        <v>0.11173789620718666</v>
      </c>
      <c r="J26" s="276">
        <f>SUM(G26:I26)</f>
        <v>2.1174975618288432</v>
      </c>
      <c r="K26" s="276"/>
      <c r="L26" s="276">
        <v>1.6462467939333201</v>
      </c>
      <c r="M26" s="276">
        <v>0.40450951573279742</v>
      </c>
      <c r="N26" s="276">
        <v>0.10306327223834941</v>
      </c>
      <c r="O26" s="276">
        <f>SUM(L26:N26)</f>
        <v>2.1538195819044668</v>
      </c>
      <c r="P26" s="276"/>
      <c r="Q26" s="276">
        <v>1.7119503091484154</v>
      </c>
      <c r="R26" s="276">
        <v>0.40476986040110197</v>
      </c>
      <c r="S26" s="276">
        <v>0.10611186253787253</v>
      </c>
      <c r="T26" s="276">
        <f>SUM(Q26:S26)</f>
        <v>2.22283203208739</v>
      </c>
      <c r="U26" s="276"/>
      <c r="V26" s="276">
        <v>1.7748697850076756</v>
      </c>
      <c r="W26" s="276">
        <v>0.38999380926516036</v>
      </c>
      <c r="X26" s="276">
        <v>0.10735472679936756</v>
      </c>
      <c r="Y26" s="276">
        <f>SUM(V26:X26)</f>
        <v>2.2722183210722036</v>
      </c>
    </row>
    <row r="27" spans="1:25">
      <c r="A27" s="236" t="s">
        <v>141</v>
      </c>
      <c r="B27" s="276">
        <v>4.2486788738946011</v>
      </c>
      <c r="C27" s="276">
        <v>0.25897055243573491</v>
      </c>
      <c r="D27" s="276">
        <v>0.22319411566394848</v>
      </c>
      <c r="E27" s="276">
        <f t="shared" ref="E27:E28" si="29">SUM(B27:D27)</f>
        <v>4.7308435419942843</v>
      </c>
      <c r="F27" s="276"/>
      <c r="G27" s="276">
        <v>3.8909454893683657</v>
      </c>
      <c r="H27" s="276">
        <v>0.29250661790660304</v>
      </c>
      <c r="I27" s="276">
        <v>4.1050330896184185E-2</v>
      </c>
      <c r="J27" s="276">
        <f t="shared" ref="J27:J28" si="30">SUM(G27:I27)</f>
        <v>4.2245024381711529</v>
      </c>
      <c r="K27" s="276"/>
      <c r="L27" s="276">
        <v>3.7305585875622804</v>
      </c>
      <c r="M27" s="276">
        <v>0.34827642443046219</v>
      </c>
      <c r="N27" s="276">
        <v>6.4345406102791172E-2</v>
      </c>
      <c r="O27" s="276">
        <f t="shared" ref="O27:O28" si="31">SUM(L27:N27)</f>
        <v>4.1431804180955334</v>
      </c>
      <c r="P27" s="276"/>
      <c r="Q27" s="276">
        <v>3.6990190694130529</v>
      </c>
      <c r="R27" s="276">
        <v>0.34923124256343957</v>
      </c>
      <c r="S27" s="276">
        <v>6.4917655936126112E-2</v>
      </c>
      <c r="T27" s="276">
        <f t="shared" ref="T27:T28" si="32">SUM(Q27:S27)</f>
        <v>4.1131679679126183</v>
      </c>
      <c r="U27" s="276"/>
      <c r="V27" s="276">
        <v>3.5125356042208988</v>
      </c>
      <c r="W27" s="276">
        <v>0.33890776684538981</v>
      </c>
      <c r="X27" s="276">
        <v>6.5338307861489711E-2</v>
      </c>
      <c r="Y27" s="276">
        <f t="shared" ref="Y27:Y28" si="33">SUM(V27:X27)</f>
        <v>3.9167816789277783</v>
      </c>
    </row>
    <row r="28" spans="1:25">
      <c r="A28" s="240" t="s">
        <v>143</v>
      </c>
      <c r="B28" s="277">
        <f>SUM(B26:B27)</f>
        <v>5.957049131065534</v>
      </c>
      <c r="C28" s="277">
        <f t="shared" ref="C28" si="34">SUM(C26:C27)</f>
        <v>0.71244142862098325</v>
      </c>
      <c r="D28" s="277">
        <f t="shared" ref="D28" si="35">SUM(D26:D27)</f>
        <v>0.34250944031347108</v>
      </c>
      <c r="E28" s="277">
        <f t="shared" si="29"/>
        <v>7.011999999999988</v>
      </c>
      <c r="F28" s="277"/>
      <c r="G28" s="277">
        <f>SUM(G26:G27)</f>
        <v>5.4784703935738976</v>
      </c>
      <c r="H28" s="277">
        <f t="shared" ref="H28" si="36">SUM(H26:H27)</f>
        <v>0.71074137932272796</v>
      </c>
      <c r="I28" s="277">
        <f t="shared" ref="I28" si="37">SUM(I26:I27)</f>
        <v>0.15278822710337084</v>
      </c>
      <c r="J28" s="277">
        <f t="shared" si="30"/>
        <v>6.3419999999999961</v>
      </c>
      <c r="K28" s="277"/>
      <c r="L28" s="277">
        <f>SUM(L26:L27)</f>
        <v>5.3768053814956005</v>
      </c>
      <c r="M28" s="277">
        <f t="shared" ref="M28" si="38">SUM(M26:M27)</f>
        <v>0.75278594016325961</v>
      </c>
      <c r="N28" s="277">
        <f t="shared" ref="N28" si="39">SUM(N26:N27)</f>
        <v>0.16740867834114059</v>
      </c>
      <c r="O28" s="277">
        <f t="shared" si="31"/>
        <v>6.2970000000000006</v>
      </c>
      <c r="P28" s="277"/>
      <c r="Q28" s="277">
        <f>SUM(Q26:Q27)</f>
        <v>5.4109693785614681</v>
      </c>
      <c r="R28" s="277">
        <f t="shared" ref="R28" si="40">SUM(R26:R27)</f>
        <v>0.75400110296454148</v>
      </c>
      <c r="S28" s="277">
        <f t="shared" ref="S28" si="41">SUM(S26:S27)</f>
        <v>0.17102951847399864</v>
      </c>
      <c r="T28" s="277">
        <f t="shared" si="32"/>
        <v>6.3360000000000083</v>
      </c>
      <c r="U28" s="277"/>
      <c r="V28" s="277">
        <f>SUM(V26:V27)</f>
        <v>5.2874053892285744</v>
      </c>
      <c r="W28" s="277">
        <f t="shared" ref="W28" si="42">SUM(W26:W27)</f>
        <v>0.72890157611055018</v>
      </c>
      <c r="X28" s="277">
        <f t="shared" ref="X28" si="43">SUM(X26:X27)</f>
        <v>0.17269303466085728</v>
      </c>
      <c r="Y28" s="277">
        <f t="shared" si="33"/>
        <v>6.1889999999999814</v>
      </c>
    </row>
    <row r="32" spans="1:25" ht="15">
      <c r="A32" s="241" t="str">
        <f>"Industry 4 : "&amp; name!B7</f>
        <v>Industry 4 : Engineering</v>
      </c>
      <c r="B32" s="346">
        <f>$B$5</f>
        <v>2015</v>
      </c>
      <c r="C32" s="346"/>
      <c r="D32" s="346"/>
      <c r="E32" s="346"/>
      <c r="F32" s="291"/>
      <c r="G32" s="346">
        <f>$G$5</f>
        <v>2019</v>
      </c>
      <c r="H32" s="346"/>
      <c r="I32" s="346"/>
      <c r="J32" s="346"/>
      <c r="K32" s="291"/>
      <c r="L32" s="346">
        <f>$L$5</f>
        <v>2020</v>
      </c>
      <c r="M32" s="346"/>
      <c r="N32" s="346"/>
      <c r="O32" s="346"/>
      <c r="P32" s="289"/>
      <c r="Q32" s="346">
        <f>$Q$5</f>
        <v>2025</v>
      </c>
      <c r="R32" s="346"/>
      <c r="S32" s="346"/>
      <c r="T32" s="346"/>
      <c r="U32" s="291"/>
      <c r="V32" s="346">
        <f>$V$5</f>
        <v>2035</v>
      </c>
      <c r="W32" s="346"/>
      <c r="X32" s="346"/>
      <c r="Y32" s="346"/>
    </row>
    <row r="33" spans="1:25">
      <c r="A33" s="240"/>
      <c r="B33" s="244" t="str">
        <f>$B$6</f>
        <v>FT</v>
      </c>
      <c r="C33" s="244" t="str">
        <f>$C$6</f>
        <v>PT</v>
      </c>
      <c r="D33" s="244" t="str">
        <f>$D$6</f>
        <v>SE</v>
      </c>
      <c r="E33" s="244" t="str">
        <f>$E$6</f>
        <v>Total</v>
      </c>
      <c r="F33" s="244"/>
      <c r="G33" s="244" t="str">
        <f>$B$6</f>
        <v>FT</v>
      </c>
      <c r="H33" s="244" t="str">
        <f>$C$6</f>
        <v>PT</v>
      </c>
      <c r="I33" s="244" t="str">
        <f>$D$6</f>
        <v>SE</v>
      </c>
      <c r="J33" s="244" t="str">
        <f>$E$6</f>
        <v>Total</v>
      </c>
      <c r="K33" s="244"/>
      <c r="L33" s="244" t="str">
        <f>$L$6</f>
        <v>FT</v>
      </c>
      <c r="M33" s="244" t="str">
        <f>$M$6</f>
        <v>PT</v>
      </c>
      <c r="N33" s="244" t="str">
        <f>$N$6</f>
        <v>SE</v>
      </c>
      <c r="O33" s="244" t="str">
        <f>$O$6</f>
        <v>Total</v>
      </c>
      <c r="P33" s="244"/>
      <c r="Q33" s="244" t="str">
        <f>$L$6</f>
        <v>FT</v>
      </c>
      <c r="R33" s="244" t="str">
        <f>$M$6</f>
        <v>PT</v>
      </c>
      <c r="S33" s="244" t="str">
        <f>$N$6</f>
        <v>SE</v>
      </c>
      <c r="T33" s="244" t="str">
        <f>$O$6</f>
        <v>Total</v>
      </c>
      <c r="U33" s="244"/>
      <c r="V33" s="244" t="str">
        <f>$V$6</f>
        <v>FT</v>
      </c>
      <c r="W33" s="244" t="str">
        <f>$W$6</f>
        <v>PT</v>
      </c>
      <c r="X33" s="244" t="str">
        <f>$X$6</f>
        <v>SE</v>
      </c>
      <c r="Y33" s="244" t="str">
        <f>$Y$6</f>
        <v>Total</v>
      </c>
    </row>
    <row r="34" spans="1:25">
      <c r="C34" s="290"/>
      <c r="D34" s="290"/>
      <c r="E34" s="290"/>
      <c r="F34" s="290"/>
      <c r="G34" s="290"/>
      <c r="H34" s="290"/>
      <c r="I34" s="290"/>
      <c r="J34" s="290"/>
      <c r="K34" s="290"/>
      <c r="L34" s="290"/>
      <c r="M34" s="290"/>
      <c r="N34" s="290"/>
      <c r="O34" s="290"/>
      <c r="P34" s="290"/>
      <c r="Q34" s="290"/>
      <c r="R34" s="290"/>
      <c r="S34" s="290"/>
      <c r="T34" s="290"/>
      <c r="U34" s="290"/>
      <c r="V34" s="290"/>
      <c r="W34" s="290"/>
      <c r="X34" s="290"/>
      <c r="Y34" s="290"/>
    </row>
    <row r="35" spans="1:25">
      <c r="A35" s="236" t="s">
        <v>142</v>
      </c>
      <c r="B35" s="276">
        <v>1.0966939808223322</v>
      </c>
      <c r="C35" s="276">
        <v>0.31714942315669403</v>
      </c>
      <c r="D35" s="276">
        <v>4.2652800669252602E-2</v>
      </c>
      <c r="E35" s="276">
        <f>SUM(B35:D35)</f>
        <v>1.4564962046482788</v>
      </c>
      <c r="F35" s="276"/>
      <c r="G35" s="276">
        <v>1.1754676189820135</v>
      </c>
      <c r="H35" s="276">
        <v>0.30979797130962922</v>
      </c>
      <c r="I35" s="276">
        <v>0.16094462117364516</v>
      </c>
      <c r="J35" s="276">
        <f>SUM(G35:I35)</f>
        <v>1.6462102114652879</v>
      </c>
      <c r="K35" s="276"/>
      <c r="L35" s="276">
        <v>1.2864633262276473</v>
      </c>
      <c r="M35" s="276">
        <v>0.32951573929691375</v>
      </c>
      <c r="N35" s="276">
        <v>0.1065265909532092</v>
      </c>
      <c r="O35" s="276">
        <f>SUM(L35:N35)</f>
        <v>1.7225056564777701</v>
      </c>
      <c r="P35" s="276"/>
      <c r="Q35" s="276">
        <v>1.3562483992578311</v>
      </c>
      <c r="R35" s="276">
        <v>0.34689891248997329</v>
      </c>
      <c r="S35" s="276">
        <v>0.11435349120795787</v>
      </c>
      <c r="T35" s="276">
        <f>SUM(Q35:S35)</f>
        <v>1.8175008029557622</v>
      </c>
      <c r="U35" s="276"/>
      <c r="V35" s="276">
        <v>1.1973816628555178</v>
      </c>
      <c r="W35" s="276">
        <v>0.31000483747234964</v>
      </c>
      <c r="X35" s="276">
        <v>0.10835743026272331</v>
      </c>
      <c r="Y35" s="276">
        <f>SUM(V35:X35)</f>
        <v>1.6157439305905907</v>
      </c>
    </row>
    <row r="36" spans="1:25">
      <c r="A36" s="236" t="s">
        <v>141</v>
      </c>
      <c r="B36" s="276">
        <v>5.0254369878562271</v>
      </c>
      <c r="C36" s="276">
        <v>0.13506720211761872</v>
      </c>
      <c r="D36" s="276">
        <v>0.34299960537787993</v>
      </c>
      <c r="E36" s="276">
        <f t="shared" ref="E36:E37" si="44">SUM(B36:D36)</f>
        <v>5.5035037953517261</v>
      </c>
      <c r="F36" s="276"/>
      <c r="G36" s="276">
        <v>5.9056055258804738</v>
      </c>
      <c r="H36" s="276">
        <v>0.14313450573317354</v>
      </c>
      <c r="I36" s="276">
        <v>0.47204975692107087</v>
      </c>
      <c r="J36" s="276">
        <f t="shared" ref="J36:J37" si="45">SUM(G36:I36)</f>
        <v>6.5207897885347181</v>
      </c>
      <c r="K36" s="276"/>
      <c r="L36" s="276">
        <v>5.2916351075308716</v>
      </c>
      <c r="M36" s="276">
        <v>0.20197702260520581</v>
      </c>
      <c r="N36" s="276">
        <v>0.19888221338614046</v>
      </c>
      <c r="O36" s="276">
        <f t="shared" ref="O36:O37" si="46">SUM(L36:N36)</f>
        <v>5.6924943435222177</v>
      </c>
      <c r="P36" s="276"/>
      <c r="Q36" s="276">
        <v>5.6121174915894194</v>
      </c>
      <c r="R36" s="276">
        <v>0.22358906393103856</v>
      </c>
      <c r="S36" s="276">
        <v>0.21479264152378308</v>
      </c>
      <c r="T36" s="276">
        <f t="shared" ref="T36:T37" si="47">SUM(Q36:S36)</f>
        <v>6.0504991970442408</v>
      </c>
      <c r="U36" s="276"/>
      <c r="V36" s="276">
        <v>5.0576952619611646</v>
      </c>
      <c r="W36" s="276">
        <v>0.21575310818940163</v>
      </c>
      <c r="X36" s="276">
        <v>0.20180769925884098</v>
      </c>
      <c r="Y36" s="276">
        <f t="shared" ref="Y36:Y37" si="48">SUM(V36:X36)</f>
        <v>5.475256069409407</v>
      </c>
    </row>
    <row r="37" spans="1:25">
      <c r="A37" s="240" t="s">
        <v>143</v>
      </c>
      <c r="B37" s="277">
        <f>SUM(B35:B36)</f>
        <v>6.122130968678559</v>
      </c>
      <c r="C37" s="277">
        <f t="shared" ref="C37" si="49">SUM(C35:C36)</f>
        <v>0.45221662527431272</v>
      </c>
      <c r="D37" s="277">
        <f t="shared" ref="D37" si="50">SUM(D35:D36)</f>
        <v>0.38565240604713252</v>
      </c>
      <c r="E37" s="277">
        <f t="shared" si="44"/>
        <v>6.9600000000000044</v>
      </c>
      <c r="F37" s="277"/>
      <c r="G37" s="277">
        <f>SUM(G35:G36)</f>
        <v>7.0810731448624873</v>
      </c>
      <c r="H37" s="277">
        <f t="shared" ref="H37" si="51">SUM(H35:H36)</f>
        <v>0.45293247704280276</v>
      </c>
      <c r="I37" s="277">
        <f t="shared" ref="I37" si="52">SUM(I35:I36)</f>
        <v>0.63299437809471604</v>
      </c>
      <c r="J37" s="277">
        <f t="shared" si="45"/>
        <v>8.1670000000000069</v>
      </c>
      <c r="K37" s="277"/>
      <c r="L37" s="277">
        <f>SUM(L35:L36)</f>
        <v>6.5780984337585187</v>
      </c>
      <c r="M37" s="277">
        <f t="shared" ref="M37" si="53">SUM(M35:M36)</f>
        <v>0.53149276190211958</v>
      </c>
      <c r="N37" s="277">
        <f t="shared" ref="N37" si="54">SUM(N35:N36)</f>
        <v>0.30540880433934964</v>
      </c>
      <c r="O37" s="277">
        <f t="shared" si="46"/>
        <v>7.4149999999999876</v>
      </c>
      <c r="P37" s="277"/>
      <c r="Q37" s="277">
        <f>SUM(Q35:Q36)</f>
        <v>6.9683658908472506</v>
      </c>
      <c r="R37" s="277">
        <f t="shared" ref="R37" si="55">SUM(R35:R36)</f>
        <v>0.57048797642101179</v>
      </c>
      <c r="S37" s="277">
        <f t="shared" ref="S37" si="56">SUM(S35:S36)</f>
        <v>0.32914613273174098</v>
      </c>
      <c r="T37" s="277">
        <f t="shared" si="47"/>
        <v>7.868000000000003</v>
      </c>
      <c r="U37" s="277"/>
      <c r="V37" s="277">
        <f>SUM(V35:V36)</f>
        <v>6.2550769248166826</v>
      </c>
      <c r="W37" s="277">
        <f t="shared" ref="W37" si="57">SUM(W35:W36)</f>
        <v>0.52575794566175127</v>
      </c>
      <c r="X37" s="277">
        <f t="shared" ref="X37" si="58">SUM(X35:X36)</f>
        <v>0.31016512952156428</v>
      </c>
      <c r="Y37" s="277">
        <f t="shared" si="48"/>
        <v>7.0909999999999984</v>
      </c>
    </row>
    <row r="38" spans="1:25">
      <c r="C38" s="239"/>
    </row>
    <row r="39" spans="1:25">
      <c r="C39" s="239"/>
    </row>
    <row r="40" spans="1:25">
      <c r="A40" s="237"/>
    </row>
    <row r="41" spans="1:25" ht="15">
      <c r="A41" s="241" t="str">
        <f>"Industry 5 : "&amp; name!B8</f>
        <v>Industry 5 : Rest of manufacturing</v>
      </c>
      <c r="B41" s="346">
        <f>$B$5</f>
        <v>2015</v>
      </c>
      <c r="C41" s="346"/>
      <c r="D41" s="346"/>
      <c r="E41" s="346"/>
      <c r="F41" s="291"/>
      <c r="G41" s="346">
        <f>$G$5</f>
        <v>2019</v>
      </c>
      <c r="H41" s="346"/>
      <c r="I41" s="346"/>
      <c r="J41" s="346"/>
      <c r="K41" s="291"/>
      <c r="L41" s="346">
        <f>$L$5</f>
        <v>2020</v>
      </c>
      <c r="M41" s="346"/>
      <c r="N41" s="346"/>
      <c r="O41" s="346"/>
      <c r="P41" s="289"/>
      <c r="Q41" s="346">
        <f>$Q$5</f>
        <v>2025</v>
      </c>
      <c r="R41" s="346"/>
      <c r="S41" s="346"/>
      <c r="T41" s="346"/>
      <c r="U41" s="291"/>
      <c r="V41" s="346">
        <f>$V$5</f>
        <v>2035</v>
      </c>
      <c r="W41" s="346"/>
      <c r="X41" s="346"/>
      <c r="Y41" s="346"/>
    </row>
    <row r="42" spans="1:25">
      <c r="A42" s="240"/>
      <c r="B42" s="244" t="str">
        <f>$B$6</f>
        <v>FT</v>
      </c>
      <c r="C42" s="244" t="str">
        <f>$C$6</f>
        <v>PT</v>
      </c>
      <c r="D42" s="244" t="str">
        <f>$D$6</f>
        <v>SE</v>
      </c>
      <c r="E42" s="244" t="str">
        <f>$E$6</f>
        <v>Total</v>
      </c>
      <c r="F42" s="244"/>
      <c r="G42" s="244" t="str">
        <f>$B$6</f>
        <v>FT</v>
      </c>
      <c r="H42" s="244" t="str">
        <f>$C$6</f>
        <v>PT</v>
      </c>
      <c r="I42" s="244" t="str">
        <f>$D$6</f>
        <v>SE</v>
      </c>
      <c r="J42" s="244" t="str">
        <f>$E$6</f>
        <v>Total</v>
      </c>
      <c r="K42" s="244"/>
      <c r="L42" s="244" t="str">
        <f>$L$6</f>
        <v>FT</v>
      </c>
      <c r="M42" s="244" t="str">
        <f>$M$6</f>
        <v>PT</v>
      </c>
      <c r="N42" s="244" t="str">
        <f>$N$6</f>
        <v>SE</v>
      </c>
      <c r="O42" s="244" t="str">
        <f>$O$6</f>
        <v>Total</v>
      </c>
      <c r="P42" s="244"/>
      <c r="Q42" s="244" t="str">
        <f>$L$6</f>
        <v>FT</v>
      </c>
      <c r="R42" s="244" t="str">
        <f>$M$6</f>
        <v>PT</v>
      </c>
      <c r="S42" s="244" t="str">
        <f>$N$6</f>
        <v>SE</v>
      </c>
      <c r="T42" s="244" t="str">
        <f>$O$6</f>
        <v>Total</v>
      </c>
      <c r="U42" s="244"/>
      <c r="V42" s="244" t="str">
        <f>$V$6</f>
        <v>FT</v>
      </c>
      <c r="W42" s="244" t="str">
        <f>$W$6</f>
        <v>PT</v>
      </c>
      <c r="X42" s="244" t="str">
        <f>$X$6</f>
        <v>SE</v>
      </c>
      <c r="Y42" s="244" t="str">
        <f>$Y$6</f>
        <v>Total</v>
      </c>
    </row>
    <row r="43" spans="1:25">
      <c r="C43" s="290"/>
      <c r="D43" s="290"/>
      <c r="E43" s="290"/>
      <c r="F43" s="290"/>
      <c r="G43" s="290"/>
      <c r="H43" s="290"/>
      <c r="I43" s="290"/>
      <c r="J43" s="290"/>
      <c r="K43" s="290"/>
      <c r="L43" s="290"/>
      <c r="M43" s="290"/>
      <c r="N43" s="290"/>
      <c r="O43" s="290"/>
      <c r="P43" s="290"/>
      <c r="Q43" s="290"/>
      <c r="R43" s="290"/>
      <c r="S43" s="290"/>
      <c r="T43" s="290"/>
      <c r="U43" s="290"/>
      <c r="V43" s="290"/>
      <c r="W43" s="290"/>
      <c r="X43" s="290"/>
      <c r="Y43" s="290"/>
    </row>
    <row r="44" spans="1:25">
      <c r="A44" s="236" t="s">
        <v>142</v>
      </c>
      <c r="B44" s="276">
        <v>7.2707611658222824</v>
      </c>
      <c r="C44" s="276">
        <v>1.8141277702244425</v>
      </c>
      <c r="D44" s="276">
        <v>0.54380163490996281</v>
      </c>
      <c r="E44" s="276">
        <f>SUM(B44:D44)</f>
        <v>9.628690570956687</v>
      </c>
      <c r="F44" s="276"/>
      <c r="G44" s="276">
        <v>7.7739890219271013</v>
      </c>
      <c r="H44" s="276">
        <v>2.2619201544515528</v>
      </c>
      <c r="I44" s="276">
        <v>0.79217127400974274</v>
      </c>
      <c r="J44" s="276">
        <f>SUM(G44:I44)</f>
        <v>10.828080450388397</v>
      </c>
      <c r="K44" s="276"/>
      <c r="L44" s="276">
        <v>7.7683203810621846</v>
      </c>
      <c r="M44" s="276">
        <v>2.2679354550548565</v>
      </c>
      <c r="N44" s="276">
        <v>0.77843844590273481</v>
      </c>
      <c r="O44" s="276">
        <f>SUM(L44:N44)</f>
        <v>10.814694282019776</v>
      </c>
      <c r="P44" s="276"/>
      <c r="Q44" s="276">
        <v>7.5709919127585934</v>
      </c>
      <c r="R44" s="276">
        <v>2.1518457563891071</v>
      </c>
      <c r="S44" s="276">
        <v>0.70542238920853284</v>
      </c>
      <c r="T44" s="276">
        <f>SUM(Q44:S44)</f>
        <v>10.428260058356233</v>
      </c>
      <c r="U44" s="276"/>
      <c r="V44" s="276">
        <v>6.9683060727944133</v>
      </c>
      <c r="W44" s="276">
        <v>1.9291745734647434</v>
      </c>
      <c r="X44" s="276">
        <v>0.61189301098158533</v>
      </c>
      <c r="Y44" s="276">
        <f>SUM(V44:X44)</f>
        <v>9.5093736572407419</v>
      </c>
    </row>
    <row r="45" spans="1:25">
      <c r="A45" s="236" t="s">
        <v>141</v>
      </c>
      <c r="B45" s="276">
        <v>40.037452829549117</v>
      </c>
      <c r="C45" s="276">
        <v>0.83087189779516857</v>
      </c>
      <c r="D45" s="276">
        <v>4.1899847016989273</v>
      </c>
      <c r="E45" s="276">
        <f t="shared" ref="E45:E46" si="59">SUM(B45:D45)</f>
        <v>45.058309429043213</v>
      </c>
      <c r="F45" s="276"/>
      <c r="G45" s="276">
        <v>40.250968992190892</v>
      </c>
      <c r="H45" s="276">
        <v>1.3256558529546749</v>
      </c>
      <c r="I45" s="276">
        <v>2.3712947044660639</v>
      </c>
      <c r="J45" s="276">
        <f t="shared" ref="J45:J46" si="60">SUM(G45:I45)</f>
        <v>43.947919549611633</v>
      </c>
      <c r="K45" s="276"/>
      <c r="L45" s="276">
        <v>35.294564240296211</v>
      </c>
      <c r="M45" s="276">
        <v>1.9821287341363689</v>
      </c>
      <c r="N45" s="276">
        <v>2.0756127435476746</v>
      </c>
      <c r="O45" s="276">
        <f t="shared" ref="O45:O46" si="61">SUM(L45:N45)</f>
        <v>39.352305717980251</v>
      </c>
      <c r="P45" s="276"/>
      <c r="Q45" s="276">
        <v>34.050686017822912</v>
      </c>
      <c r="R45" s="276">
        <v>1.8498669938581254</v>
      </c>
      <c r="S45" s="276">
        <v>1.9541869299627677</v>
      </c>
      <c r="T45" s="276">
        <f t="shared" ref="T45:T46" si="62">SUM(Q45:S45)</f>
        <v>37.854739941643807</v>
      </c>
      <c r="U45" s="276"/>
      <c r="V45" s="276">
        <v>30.576037020105375</v>
      </c>
      <c r="W45" s="276">
        <v>1.6822778829808016</v>
      </c>
      <c r="X45" s="276">
        <v>1.8423114396729916</v>
      </c>
      <c r="Y45" s="276">
        <f t="shared" ref="Y45:Y46" si="63">SUM(V45:X45)</f>
        <v>34.100626342759163</v>
      </c>
    </row>
    <row r="46" spans="1:25">
      <c r="A46" s="240" t="s">
        <v>143</v>
      </c>
      <c r="B46" s="277">
        <f>SUM(B44:B45)</f>
        <v>47.308213995371403</v>
      </c>
      <c r="C46" s="277">
        <f t="shared" ref="C46" si="64">SUM(C44:C45)</f>
        <v>2.6449996680196111</v>
      </c>
      <c r="D46" s="277">
        <f t="shared" ref="D46" si="65">SUM(D44:D45)</f>
        <v>4.7337863366088904</v>
      </c>
      <c r="E46" s="277">
        <f t="shared" si="59"/>
        <v>54.686999999999898</v>
      </c>
      <c r="F46" s="277"/>
      <c r="G46" s="277">
        <f>SUM(G44:G45)</f>
        <v>48.024958014117992</v>
      </c>
      <c r="H46" s="277">
        <f t="shared" ref="H46" si="66">SUM(H44:H45)</f>
        <v>3.587576007406228</v>
      </c>
      <c r="I46" s="277">
        <f t="shared" ref="I46" si="67">SUM(I44:I45)</f>
        <v>3.1634659784758066</v>
      </c>
      <c r="J46" s="277">
        <f t="shared" si="60"/>
        <v>54.776000000000025</v>
      </c>
      <c r="K46" s="277"/>
      <c r="L46" s="277">
        <f>SUM(L44:L45)</f>
        <v>43.062884621358393</v>
      </c>
      <c r="M46" s="277">
        <f t="shared" ref="M46" si="68">SUM(M44:M45)</f>
        <v>4.2500641891912254</v>
      </c>
      <c r="N46" s="277">
        <f t="shared" ref="N46" si="69">SUM(N44:N45)</f>
        <v>2.8540511894504093</v>
      </c>
      <c r="O46" s="277">
        <f t="shared" si="61"/>
        <v>50.16700000000003</v>
      </c>
      <c r="P46" s="277"/>
      <c r="Q46" s="277">
        <f>SUM(Q44:Q45)</f>
        <v>41.621677930581505</v>
      </c>
      <c r="R46" s="277">
        <f t="shared" ref="R46" si="70">SUM(R44:R45)</f>
        <v>4.0017127502472327</v>
      </c>
      <c r="S46" s="277">
        <f t="shared" ref="S46" si="71">SUM(S44:S45)</f>
        <v>2.6596093191713006</v>
      </c>
      <c r="T46" s="277">
        <f t="shared" si="62"/>
        <v>48.283000000000037</v>
      </c>
      <c r="U46" s="277"/>
      <c r="V46" s="277">
        <f>SUM(V44:V45)</f>
        <v>37.544343092899787</v>
      </c>
      <c r="W46" s="277">
        <f t="shared" ref="W46" si="72">SUM(W44:W45)</f>
        <v>3.6114524564455452</v>
      </c>
      <c r="X46" s="277">
        <f t="shared" ref="X46" si="73">SUM(X44:X45)</f>
        <v>2.454204450654577</v>
      </c>
      <c r="Y46" s="277">
        <f t="shared" si="63"/>
        <v>43.609999999999914</v>
      </c>
    </row>
    <row r="47" spans="1:25">
      <c r="C47" s="239"/>
    </row>
    <row r="48" spans="1:25">
      <c r="C48" s="239"/>
    </row>
    <row r="49" spans="1:25">
      <c r="C49" s="239"/>
    </row>
    <row r="50" spans="1:25" ht="15">
      <c r="A50" s="241" t="str">
        <f>"Industry 6 : "&amp; name!B9</f>
        <v>Industry 6 : Electricity and gas</v>
      </c>
      <c r="B50" s="346">
        <f>$B$5</f>
        <v>2015</v>
      </c>
      <c r="C50" s="346"/>
      <c r="D50" s="346"/>
      <c r="E50" s="346"/>
      <c r="F50" s="291"/>
      <c r="G50" s="346">
        <f>$G$5</f>
        <v>2019</v>
      </c>
      <c r="H50" s="346"/>
      <c r="I50" s="346"/>
      <c r="J50" s="346"/>
      <c r="K50" s="291"/>
      <c r="L50" s="346">
        <f>$L$5</f>
        <v>2020</v>
      </c>
      <c r="M50" s="346"/>
      <c r="N50" s="346"/>
      <c r="O50" s="346"/>
      <c r="P50" s="289"/>
      <c r="Q50" s="346">
        <f>$Q$5</f>
        <v>2025</v>
      </c>
      <c r="R50" s="346"/>
      <c r="S50" s="346"/>
      <c r="T50" s="346"/>
      <c r="U50" s="291"/>
      <c r="V50" s="346">
        <f>$V$5</f>
        <v>2035</v>
      </c>
      <c r="W50" s="346"/>
      <c r="X50" s="346"/>
      <c r="Y50" s="346"/>
    </row>
    <row r="51" spans="1:25">
      <c r="A51" s="240"/>
      <c r="B51" s="244" t="str">
        <f>$B$6</f>
        <v>FT</v>
      </c>
      <c r="C51" s="244" t="str">
        <f>$C$6</f>
        <v>PT</v>
      </c>
      <c r="D51" s="244" t="str">
        <f>$D$6</f>
        <v>SE</v>
      </c>
      <c r="E51" s="244" t="str">
        <f>$E$6</f>
        <v>Total</v>
      </c>
      <c r="F51" s="244"/>
      <c r="G51" s="244" t="str">
        <f>$B$6</f>
        <v>FT</v>
      </c>
      <c r="H51" s="244" t="str">
        <f>$C$6</f>
        <v>PT</v>
      </c>
      <c r="I51" s="244" t="str">
        <f>$D$6</f>
        <v>SE</v>
      </c>
      <c r="J51" s="244" t="str">
        <f>$E$6</f>
        <v>Total</v>
      </c>
      <c r="K51" s="244"/>
      <c r="L51" s="244" t="str">
        <f>$L$6</f>
        <v>FT</v>
      </c>
      <c r="M51" s="244" t="str">
        <f>$M$6</f>
        <v>PT</v>
      </c>
      <c r="N51" s="244" t="str">
        <f>$N$6</f>
        <v>SE</v>
      </c>
      <c r="O51" s="244" t="str">
        <f>$O$6</f>
        <v>Total</v>
      </c>
      <c r="P51" s="244"/>
      <c r="Q51" s="244" t="str">
        <f>$L$6</f>
        <v>FT</v>
      </c>
      <c r="R51" s="244" t="str">
        <f>$M$6</f>
        <v>PT</v>
      </c>
      <c r="S51" s="244" t="str">
        <f>$N$6</f>
        <v>SE</v>
      </c>
      <c r="T51" s="244" t="str">
        <f>$O$6</f>
        <v>Total</v>
      </c>
      <c r="U51" s="244"/>
      <c r="V51" s="244" t="str">
        <f>$V$6</f>
        <v>FT</v>
      </c>
      <c r="W51" s="244" t="str">
        <f>$W$6</f>
        <v>PT</v>
      </c>
      <c r="X51" s="244" t="str">
        <f>$X$6</f>
        <v>SE</v>
      </c>
      <c r="Y51" s="244" t="str">
        <f>$Y$6</f>
        <v>Total</v>
      </c>
    </row>
    <row r="52" spans="1:25">
      <c r="C52" s="290"/>
      <c r="D52" s="290"/>
      <c r="E52" s="290"/>
      <c r="F52" s="290"/>
      <c r="G52" s="290"/>
      <c r="H52" s="290"/>
      <c r="I52" s="290"/>
      <c r="J52" s="290"/>
      <c r="K52" s="290"/>
      <c r="L52" s="290"/>
      <c r="M52" s="290"/>
      <c r="N52" s="290"/>
      <c r="O52" s="290"/>
      <c r="P52" s="290"/>
      <c r="Q52" s="290"/>
      <c r="R52" s="290"/>
      <c r="S52" s="290"/>
      <c r="T52" s="290"/>
      <c r="U52" s="290"/>
      <c r="V52" s="290"/>
      <c r="W52" s="290"/>
      <c r="X52" s="290"/>
      <c r="Y52" s="290"/>
    </row>
    <row r="53" spans="1:25">
      <c r="A53" s="236" t="s">
        <v>142</v>
      </c>
      <c r="B53" s="276">
        <v>0.99943966840804266</v>
      </c>
      <c r="C53" s="276">
        <v>0.26229275407223607</v>
      </c>
      <c r="D53" s="276">
        <v>4.0105925699010226E-4</v>
      </c>
      <c r="E53" s="276">
        <f>SUM(B53:D53)</f>
        <v>1.2621334817372687</v>
      </c>
      <c r="F53" s="276"/>
      <c r="G53" s="276">
        <v>0.43716698637303336</v>
      </c>
      <c r="H53" s="276">
        <v>9.5235852676020041E-2</v>
      </c>
      <c r="I53" s="276">
        <v>1.6391713025369108E-4</v>
      </c>
      <c r="J53" s="276">
        <f>SUM(G53:I53)</f>
        <v>0.53256675617930704</v>
      </c>
      <c r="K53" s="276"/>
      <c r="L53" s="276">
        <v>0.48428232944965371</v>
      </c>
      <c r="M53" s="276">
        <v>0.10845460857493409</v>
      </c>
      <c r="N53" s="276">
        <v>0</v>
      </c>
      <c r="O53" s="276">
        <f>SUM(L53:N53)</f>
        <v>0.59273693802458782</v>
      </c>
      <c r="P53" s="276"/>
      <c r="Q53" s="276">
        <v>0.46117664154068599</v>
      </c>
      <c r="R53" s="276">
        <v>0.10231513940549382</v>
      </c>
      <c r="S53" s="276">
        <v>0</v>
      </c>
      <c r="T53" s="276">
        <f>SUM(Q53:S53)</f>
        <v>0.5634917809461798</v>
      </c>
      <c r="U53" s="276"/>
      <c r="V53" s="276">
        <v>0.46216929460892336</v>
      </c>
      <c r="W53" s="276">
        <v>0.10058091286315728</v>
      </c>
      <c r="X53" s="276">
        <v>0</v>
      </c>
      <c r="Y53" s="276">
        <f>SUM(V53:X53)</f>
        <v>0.5627502074720806</v>
      </c>
    </row>
    <row r="54" spans="1:25">
      <c r="A54" s="236" t="s">
        <v>141</v>
      </c>
      <c r="B54" s="276">
        <v>3.6079290758312874</v>
      </c>
      <c r="C54" s="276">
        <v>8.1816088425549827E-2</v>
      </c>
      <c r="D54" s="276">
        <v>0.27312135400588966</v>
      </c>
      <c r="E54" s="276">
        <f t="shared" ref="E54:E55" si="74">SUM(B54:D54)</f>
        <v>3.962866518262727</v>
      </c>
      <c r="F54" s="276"/>
      <c r="G54" s="276">
        <v>1.1485673316779144</v>
      </c>
      <c r="H54" s="276">
        <v>2.7865912142778868E-2</v>
      </c>
      <c r="I54" s="276">
        <v>0</v>
      </c>
      <c r="J54" s="276">
        <f t="shared" ref="J54:J55" si="75">SUM(G54:I54)</f>
        <v>1.1764332438206933</v>
      </c>
      <c r="K54" s="276"/>
      <c r="L54" s="276">
        <v>1.3551694150391835</v>
      </c>
      <c r="M54" s="276">
        <v>2.3093646936225617E-2</v>
      </c>
      <c r="N54" s="276">
        <v>0</v>
      </c>
      <c r="O54" s="276">
        <f t="shared" ref="O54:O55" si="76">SUM(L54:N54)</f>
        <v>1.378263061975409</v>
      </c>
      <c r="P54" s="276"/>
      <c r="Q54" s="276">
        <v>1.2704270275182201</v>
      </c>
      <c r="R54" s="276">
        <v>2.2081191535599107E-2</v>
      </c>
      <c r="S54" s="276">
        <v>0</v>
      </c>
      <c r="T54" s="276">
        <f t="shared" ref="T54:T55" si="77">SUM(Q54:S54)</f>
        <v>1.2925082190538193</v>
      </c>
      <c r="U54" s="276"/>
      <c r="V54" s="276">
        <v>1.2329543568433727</v>
      </c>
      <c r="W54" s="276">
        <v>2.2295435684549926E-2</v>
      </c>
      <c r="X54" s="276">
        <v>0</v>
      </c>
      <c r="Y54" s="276">
        <f t="shared" ref="Y54:Y55" si="78">SUM(V54:X54)</f>
        <v>1.2552497925279227</v>
      </c>
    </row>
    <row r="55" spans="1:25">
      <c r="A55" s="240" t="s">
        <v>143</v>
      </c>
      <c r="B55" s="277">
        <f>SUM(B53:B54)</f>
        <v>4.6073687442393298</v>
      </c>
      <c r="C55" s="277">
        <f t="shared" ref="C55" si="79">SUM(C53:C54)</f>
        <v>0.34410884249778589</v>
      </c>
      <c r="D55" s="277">
        <f t="shared" ref="D55" si="80">SUM(D53:D54)</f>
        <v>0.27352241326287974</v>
      </c>
      <c r="E55" s="277">
        <f t="shared" si="74"/>
        <v>5.2249999999999952</v>
      </c>
      <c r="F55" s="277"/>
      <c r="G55" s="277">
        <f>SUM(G53:G54)</f>
        <v>1.5857343180509478</v>
      </c>
      <c r="H55" s="277">
        <f t="shared" ref="H55" si="81">SUM(H53:H54)</f>
        <v>0.12310176481879891</v>
      </c>
      <c r="I55" s="277">
        <f t="shared" ref="I55" si="82">SUM(I53:I54)</f>
        <v>1.6391713025369108E-4</v>
      </c>
      <c r="J55" s="277">
        <f t="shared" si="75"/>
        <v>1.7090000000000003</v>
      </c>
      <c r="K55" s="277"/>
      <c r="L55" s="277">
        <f>SUM(L53:L54)</f>
        <v>1.8394517444888372</v>
      </c>
      <c r="M55" s="277">
        <f t="shared" ref="M55" si="83">SUM(M53:M54)</f>
        <v>0.1315482555111597</v>
      </c>
      <c r="N55" s="277">
        <f t="shared" ref="N55" si="84">SUM(N53:N54)</f>
        <v>0</v>
      </c>
      <c r="O55" s="277">
        <f t="shared" si="76"/>
        <v>1.970999999999997</v>
      </c>
      <c r="P55" s="277"/>
      <c r="Q55" s="277">
        <f>SUM(Q53:Q54)</f>
        <v>1.7316036690589061</v>
      </c>
      <c r="R55" s="277">
        <f t="shared" ref="R55" si="85">SUM(R53:R54)</f>
        <v>0.12439633094109293</v>
      </c>
      <c r="S55" s="277">
        <f t="shared" ref="S55" si="86">SUM(S53:S54)</f>
        <v>0</v>
      </c>
      <c r="T55" s="277">
        <f t="shared" si="77"/>
        <v>1.855999999999999</v>
      </c>
      <c r="U55" s="277"/>
      <c r="V55" s="277">
        <f>SUM(V53:V54)</f>
        <v>1.695123651452296</v>
      </c>
      <c r="W55" s="277">
        <f t="shared" ref="W55" si="87">SUM(W53:W54)</f>
        <v>0.12287634854770721</v>
      </c>
      <c r="X55" s="277">
        <f t="shared" ref="X55" si="88">SUM(X53:X54)</f>
        <v>0</v>
      </c>
      <c r="Y55" s="277">
        <f t="shared" si="78"/>
        <v>1.8180000000000032</v>
      </c>
    </row>
    <row r="56" spans="1:25">
      <c r="C56" s="239"/>
    </row>
    <row r="57" spans="1:25">
      <c r="C57" s="239"/>
    </row>
    <row r="58" spans="1:25">
      <c r="C58" s="239"/>
    </row>
    <row r="59" spans="1:25" ht="15">
      <c r="A59" s="241" t="str">
        <f>"Industry 7 : "&amp; name!B10</f>
        <v>Industry 7 : Water and sewerage</v>
      </c>
      <c r="B59" s="346">
        <f>$B$5</f>
        <v>2015</v>
      </c>
      <c r="C59" s="346"/>
      <c r="D59" s="346"/>
      <c r="E59" s="346"/>
      <c r="F59" s="291"/>
      <c r="G59" s="346">
        <f>$G$5</f>
        <v>2019</v>
      </c>
      <c r="H59" s="346"/>
      <c r="I59" s="346"/>
      <c r="J59" s="346"/>
      <c r="K59" s="291"/>
      <c r="L59" s="346">
        <f>$L$5</f>
        <v>2020</v>
      </c>
      <c r="M59" s="346"/>
      <c r="N59" s="346"/>
      <c r="O59" s="346"/>
      <c r="P59" s="289"/>
      <c r="Q59" s="346">
        <f>$Q$5</f>
        <v>2025</v>
      </c>
      <c r="R59" s="346"/>
      <c r="S59" s="346"/>
      <c r="T59" s="346"/>
      <c r="U59" s="291"/>
      <c r="V59" s="346">
        <f>$V$5</f>
        <v>2035</v>
      </c>
      <c r="W59" s="346"/>
      <c r="X59" s="346"/>
      <c r="Y59" s="346"/>
    </row>
    <row r="60" spans="1:25">
      <c r="A60" s="240"/>
      <c r="B60" s="244" t="str">
        <f>$B$6</f>
        <v>FT</v>
      </c>
      <c r="C60" s="244" t="str">
        <f>$C$6</f>
        <v>PT</v>
      </c>
      <c r="D60" s="244" t="str">
        <f>$D$6</f>
        <v>SE</v>
      </c>
      <c r="E60" s="244" t="str">
        <f>$E$6</f>
        <v>Total</v>
      </c>
      <c r="F60" s="244"/>
      <c r="G60" s="244" t="str">
        <f>$B$6</f>
        <v>FT</v>
      </c>
      <c r="H60" s="244" t="str">
        <f>$C$6</f>
        <v>PT</v>
      </c>
      <c r="I60" s="244" t="str">
        <f>$D$6</f>
        <v>SE</v>
      </c>
      <c r="J60" s="244" t="str">
        <f>$E$6</f>
        <v>Total</v>
      </c>
      <c r="K60" s="244"/>
      <c r="L60" s="244" t="str">
        <f>$L$6</f>
        <v>FT</v>
      </c>
      <c r="M60" s="244" t="str">
        <f>$M$6</f>
        <v>PT</v>
      </c>
      <c r="N60" s="244" t="str">
        <f>$N$6</f>
        <v>SE</v>
      </c>
      <c r="O60" s="244" t="str">
        <f>$O$6</f>
        <v>Total</v>
      </c>
      <c r="P60" s="244"/>
      <c r="Q60" s="244" t="str">
        <f>$L$6</f>
        <v>FT</v>
      </c>
      <c r="R60" s="244" t="str">
        <f>$M$6</f>
        <v>PT</v>
      </c>
      <c r="S60" s="244" t="str">
        <f>$N$6</f>
        <v>SE</v>
      </c>
      <c r="T60" s="244" t="str">
        <f>$O$6</f>
        <v>Total</v>
      </c>
      <c r="U60" s="244"/>
      <c r="V60" s="244" t="str">
        <f>$V$6</f>
        <v>FT</v>
      </c>
      <c r="W60" s="244" t="str">
        <f>$W$6</f>
        <v>PT</v>
      </c>
      <c r="X60" s="244" t="str">
        <f>$X$6</f>
        <v>SE</v>
      </c>
      <c r="Y60" s="244" t="str">
        <f>$Y$6</f>
        <v>Total</v>
      </c>
    </row>
    <row r="61" spans="1:25">
      <c r="C61" s="290"/>
      <c r="D61" s="290"/>
      <c r="E61" s="290"/>
      <c r="F61" s="290"/>
      <c r="G61" s="290"/>
      <c r="H61" s="290"/>
      <c r="I61" s="290"/>
      <c r="J61" s="290"/>
      <c r="K61" s="290"/>
      <c r="L61" s="290"/>
      <c r="M61" s="290"/>
      <c r="N61" s="290"/>
      <c r="O61" s="290"/>
      <c r="P61" s="290"/>
      <c r="Q61" s="290"/>
      <c r="R61" s="290"/>
      <c r="S61" s="290"/>
      <c r="T61" s="290"/>
      <c r="U61" s="290"/>
      <c r="V61" s="290"/>
      <c r="W61" s="290"/>
      <c r="X61" s="290"/>
      <c r="Y61" s="290"/>
    </row>
    <row r="62" spans="1:25">
      <c r="A62" s="236" t="s">
        <v>142</v>
      </c>
      <c r="B62" s="276">
        <v>0.6015663938000696</v>
      </c>
      <c r="C62" s="276">
        <v>0.26521582275467842</v>
      </c>
      <c r="D62" s="276">
        <v>0.13080299985364702</v>
      </c>
      <c r="E62" s="276">
        <f>SUM(B62:D62)</f>
        <v>0.99758521640839515</v>
      </c>
      <c r="F62" s="276"/>
      <c r="G62" s="276">
        <v>0.81320227472466955</v>
      </c>
      <c r="H62" s="276">
        <v>0.33530334273732482</v>
      </c>
      <c r="I62" s="276">
        <v>0</v>
      </c>
      <c r="J62" s="276">
        <f>SUM(G62:I62)</f>
        <v>1.1485056174619943</v>
      </c>
      <c r="K62" s="276"/>
      <c r="L62" s="276">
        <v>0.65528554267554284</v>
      </c>
      <c r="M62" s="276">
        <v>0.34144766531212462</v>
      </c>
      <c r="N62" s="276">
        <v>1.5890525436294843E-2</v>
      </c>
      <c r="O62" s="276">
        <f>SUM(L62:N62)</f>
        <v>1.0126237334239623</v>
      </c>
      <c r="P62" s="276"/>
      <c r="Q62" s="276">
        <v>0.6975218186567167</v>
      </c>
      <c r="R62" s="276">
        <v>0.35402860045817408</v>
      </c>
      <c r="S62" s="276">
        <v>1.590246380511863E-2</v>
      </c>
      <c r="T62" s="276">
        <f>SUM(Q62:S62)</f>
        <v>1.0674528829200094</v>
      </c>
      <c r="U62" s="276"/>
      <c r="V62" s="276">
        <v>0.77046165916116793</v>
      </c>
      <c r="W62" s="276">
        <v>0.37094096881956329</v>
      </c>
      <c r="X62" s="276">
        <v>1.6076093351630301E-2</v>
      </c>
      <c r="Y62" s="276">
        <f>SUM(V62:X62)</f>
        <v>1.1574787213323616</v>
      </c>
    </row>
    <row r="63" spans="1:25">
      <c r="A63" s="236" t="s">
        <v>141</v>
      </c>
      <c r="B63" s="276">
        <v>3.1560470565202161</v>
      </c>
      <c r="C63" s="276">
        <v>7.0922405765182051E-2</v>
      </c>
      <c r="D63" s="276">
        <v>0.10744532130619085</v>
      </c>
      <c r="E63" s="276">
        <f t="shared" ref="E63:E64" si="89">SUM(B63:D63)</f>
        <v>3.3344147835915887</v>
      </c>
      <c r="F63" s="276"/>
      <c r="G63" s="276">
        <v>2.8857273105481496</v>
      </c>
      <c r="H63" s="276">
        <v>0.22265282722322571</v>
      </c>
      <c r="I63" s="276">
        <v>0.14911424476662904</v>
      </c>
      <c r="J63" s="276">
        <f t="shared" ref="J63:J64" si="90">SUM(G63:I63)</f>
        <v>3.2574943825380043</v>
      </c>
      <c r="K63" s="276"/>
      <c r="L63" s="276">
        <v>2.1070836728256914</v>
      </c>
      <c r="M63" s="276">
        <v>0.68329259375034346</v>
      </c>
      <c r="N63" s="276">
        <v>0</v>
      </c>
      <c r="O63" s="276">
        <f t="shared" ref="O63:O64" si="91">SUM(L63:N63)</f>
        <v>2.7903762665760348</v>
      </c>
      <c r="P63" s="276"/>
      <c r="Q63" s="276">
        <v>2.1428569977004037</v>
      </c>
      <c r="R63" s="276">
        <v>0.70269011937958625</v>
      </c>
      <c r="S63" s="276">
        <v>0</v>
      </c>
      <c r="T63" s="276">
        <f t="shared" ref="T63:T64" si="92">SUM(Q63:S63)</f>
        <v>2.84554711707999</v>
      </c>
      <c r="U63" s="276"/>
      <c r="V63" s="276">
        <v>2.1682878995732122</v>
      </c>
      <c r="W63" s="276">
        <v>0.72223337909441887</v>
      </c>
      <c r="X63" s="276">
        <v>0</v>
      </c>
      <c r="Y63" s="276">
        <f t="shared" ref="Y63:Y64" si="93">SUM(V63:X63)</f>
        <v>2.8905212786676309</v>
      </c>
    </row>
    <row r="64" spans="1:25">
      <c r="A64" s="240" t="s">
        <v>143</v>
      </c>
      <c r="B64" s="277">
        <f>SUM(B62:B63)</f>
        <v>3.7576134503202856</v>
      </c>
      <c r="C64" s="277">
        <f t="shared" ref="C64" si="94">SUM(C62:C63)</f>
        <v>0.33613822851986047</v>
      </c>
      <c r="D64" s="277">
        <f t="shared" ref="D64" si="95">SUM(D62:D63)</f>
        <v>0.23824832115983785</v>
      </c>
      <c r="E64" s="277">
        <f t="shared" si="89"/>
        <v>4.3319999999999839</v>
      </c>
      <c r="F64" s="277"/>
      <c r="G64" s="277">
        <f>SUM(G62:G63)</f>
        <v>3.6989295852728192</v>
      </c>
      <c r="H64" s="277">
        <f t="shared" ref="H64" si="96">SUM(H62:H63)</f>
        <v>0.55795616996055053</v>
      </c>
      <c r="I64" s="277">
        <f t="shared" ref="I64" si="97">SUM(I62:I63)</f>
        <v>0.14911424476662904</v>
      </c>
      <c r="J64" s="277">
        <f t="shared" si="90"/>
        <v>4.4059999999999988</v>
      </c>
      <c r="K64" s="277"/>
      <c r="L64" s="277">
        <f>SUM(L62:L63)</f>
        <v>2.7623692155012343</v>
      </c>
      <c r="M64" s="277">
        <f t="shared" ref="M64" si="98">SUM(M62:M63)</f>
        <v>1.0247402590624681</v>
      </c>
      <c r="N64" s="277">
        <f t="shared" ref="N64" si="99">SUM(N62:N63)</f>
        <v>1.5890525436294843E-2</v>
      </c>
      <c r="O64" s="277">
        <f t="shared" si="91"/>
        <v>3.8029999999999968</v>
      </c>
      <c r="P64" s="277"/>
      <c r="Q64" s="277">
        <f>SUM(Q62:Q63)</f>
        <v>2.8403788163571204</v>
      </c>
      <c r="R64" s="277">
        <f t="shared" ref="R64" si="100">SUM(R62:R63)</f>
        <v>1.0567187198377603</v>
      </c>
      <c r="S64" s="277">
        <f t="shared" ref="S64" si="101">SUM(S62:S63)</f>
        <v>1.590246380511863E-2</v>
      </c>
      <c r="T64" s="277">
        <f t="shared" si="92"/>
        <v>3.9129999999999998</v>
      </c>
      <c r="U64" s="277"/>
      <c r="V64" s="277">
        <f>SUM(V62:V63)</f>
        <v>2.9387495587343802</v>
      </c>
      <c r="W64" s="277">
        <f t="shared" ref="W64" si="102">SUM(W62:W63)</f>
        <v>1.0931743479139822</v>
      </c>
      <c r="X64" s="277">
        <f t="shared" ref="X64" si="103">SUM(X62:X63)</f>
        <v>1.6076093351630301E-2</v>
      </c>
      <c r="Y64" s="277">
        <f t="shared" si="93"/>
        <v>4.0479999999999929</v>
      </c>
    </row>
    <row r="68" spans="1:25" ht="15">
      <c r="A68" s="241" t="str">
        <f>"Industry 8 : "&amp; name!B11</f>
        <v>Industry 8 : Construction</v>
      </c>
      <c r="B68" s="346">
        <f>$B$5</f>
        <v>2015</v>
      </c>
      <c r="C68" s="346"/>
      <c r="D68" s="346"/>
      <c r="E68" s="346"/>
      <c r="F68" s="291"/>
      <c r="G68" s="346">
        <f>$G$5</f>
        <v>2019</v>
      </c>
      <c r="H68" s="346"/>
      <c r="I68" s="346"/>
      <c r="J68" s="346"/>
      <c r="K68" s="291"/>
      <c r="L68" s="346">
        <f>$L$5</f>
        <v>2020</v>
      </c>
      <c r="M68" s="346"/>
      <c r="N68" s="346"/>
      <c r="O68" s="346"/>
      <c r="P68" s="289"/>
      <c r="Q68" s="346">
        <f>$Q$5</f>
        <v>2025</v>
      </c>
      <c r="R68" s="346"/>
      <c r="S68" s="346"/>
      <c r="T68" s="346"/>
      <c r="U68" s="291"/>
      <c r="V68" s="346">
        <f>$V$5</f>
        <v>2035</v>
      </c>
      <c r="W68" s="346"/>
      <c r="X68" s="346"/>
      <c r="Y68" s="346"/>
    </row>
    <row r="69" spans="1:25">
      <c r="A69" s="240"/>
      <c r="B69" s="244" t="str">
        <f>$B$6</f>
        <v>FT</v>
      </c>
      <c r="C69" s="244" t="str">
        <f>$C$6</f>
        <v>PT</v>
      </c>
      <c r="D69" s="244" t="str">
        <f>$D$6</f>
        <v>SE</v>
      </c>
      <c r="E69" s="244" t="str">
        <f>$E$6</f>
        <v>Total</v>
      </c>
      <c r="F69" s="244"/>
      <c r="G69" s="244" t="str">
        <f>$B$6</f>
        <v>FT</v>
      </c>
      <c r="H69" s="244" t="str">
        <f>$C$6</f>
        <v>PT</v>
      </c>
      <c r="I69" s="244" t="str">
        <f>$D$6</f>
        <v>SE</v>
      </c>
      <c r="J69" s="244" t="str">
        <f>$E$6</f>
        <v>Total</v>
      </c>
      <c r="K69" s="244"/>
      <c r="L69" s="244" t="str">
        <f>$L$6</f>
        <v>FT</v>
      </c>
      <c r="M69" s="244" t="str">
        <f>$M$6</f>
        <v>PT</v>
      </c>
      <c r="N69" s="244" t="str">
        <f>$N$6</f>
        <v>SE</v>
      </c>
      <c r="O69" s="244" t="str">
        <f>$O$6</f>
        <v>Total</v>
      </c>
      <c r="P69" s="244"/>
      <c r="Q69" s="244" t="str">
        <f>$L$6</f>
        <v>FT</v>
      </c>
      <c r="R69" s="244" t="str">
        <f>$M$6</f>
        <v>PT</v>
      </c>
      <c r="S69" s="244" t="str">
        <f>$N$6</f>
        <v>SE</v>
      </c>
      <c r="T69" s="244" t="str">
        <f>$O$6</f>
        <v>Total</v>
      </c>
      <c r="U69" s="244"/>
      <c r="V69" s="244" t="str">
        <f>$V$6</f>
        <v>FT</v>
      </c>
      <c r="W69" s="244" t="str">
        <f>$W$6</f>
        <v>PT</v>
      </c>
      <c r="X69" s="244" t="str">
        <f>$X$6</f>
        <v>SE</v>
      </c>
      <c r="Y69" s="244" t="str">
        <f>$Y$6</f>
        <v>Total</v>
      </c>
    </row>
    <row r="70" spans="1:25">
      <c r="C70" s="290"/>
      <c r="D70" s="290"/>
      <c r="E70" s="290"/>
      <c r="F70" s="290"/>
      <c r="G70" s="290"/>
      <c r="H70" s="290"/>
      <c r="I70" s="290"/>
      <c r="J70" s="290"/>
      <c r="K70" s="290"/>
      <c r="L70" s="290"/>
      <c r="M70" s="290"/>
      <c r="N70" s="290"/>
      <c r="O70" s="290"/>
      <c r="P70" s="290"/>
      <c r="Q70" s="290"/>
      <c r="R70" s="290"/>
      <c r="S70" s="290"/>
      <c r="T70" s="290"/>
      <c r="U70" s="290"/>
      <c r="V70" s="290"/>
      <c r="W70" s="290"/>
      <c r="X70" s="290"/>
      <c r="Y70" s="290"/>
    </row>
    <row r="71" spans="1:25">
      <c r="A71" s="236" t="s">
        <v>142</v>
      </c>
      <c r="B71" s="276">
        <v>2.3631256552432029</v>
      </c>
      <c r="C71" s="276">
        <v>1.8243644142948172</v>
      </c>
      <c r="D71" s="276">
        <v>0.81911695799947548</v>
      </c>
      <c r="E71" s="276">
        <f>SUM(B71:D71)</f>
        <v>5.0066070275374956</v>
      </c>
      <c r="F71" s="276"/>
      <c r="G71" s="276">
        <v>2.8214517433463557</v>
      </c>
      <c r="H71" s="276">
        <v>1.5916067893107293</v>
      </c>
      <c r="I71" s="276">
        <v>0.77037836608280252</v>
      </c>
      <c r="J71" s="276">
        <f>SUM(G71:I71)</f>
        <v>5.1834368987398873</v>
      </c>
      <c r="K71" s="276"/>
      <c r="L71" s="276">
        <v>2.727322096731494</v>
      </c>
      <c r="M71" s="276">
        <v>1.7042599367568281</v>
      </c>
      <c r="N71" s="276">
        <v>0.77791773711482126</v>
      </c>
      <c r="O71" s="276">
        <f>SUM(L71:N71)</f>
        <v>5.2094997706031432</v>
      </c>
      <c r="P71" s="276"/>
      <c r="Q71" s="276">
        <v>2.7289815059098261</v>
      </c>
      <c r="R71" s="276">
        <v>1.7165361995100588</v>
      </c>
      <c r="S71" s="276">
        <v>0.78194364006096029</v>
      </c>
      <c r="T71" s="276">
        <f>SUM(Q71:S71)</f>
        <v>5.2274613454808456</v>
      </c>
      <c r="U71" s="276"/>
      <c r="V71" s="276">
        <v>2.8040001814267628</v>
      </c>
      <c r="W71" s="276">
        <v>1.7833248303693243</v>
      </c>
      <c r="X71" s="276">
        <v>0.82603991842151803</v>
      </c>
      <c r="Y71" s="276">
        <f>SUM(V71:X71)</f>
        <v>5.4133649302176057</v>
      </c>
    </row>
    <row r="72" spans="1:25">
      <c r="A72" s="236" t="s">
        <v>141</v>
      </c>
      <c r="B72" s="276">
        <v>16.633249495910615</v>
      </c>
      <c r="C72" s="276">
        <v>1.2217156196965244</v>
      </c>
      <c r="D72" s="276">
        <v>8.9014278568553369</v>
      </c>
      <c r="E72" s="276">
        <f t="shared" ref="E72:E73" si="104">SUM(B72:D72)</f>
        <v>26.756392972462478</v>
      </c>
      <c r="F72" s="276"/>
      <c r="G72" s="276">
        <v>16.249680589416943</v>
      </c>
      <c r="H72" s="276">
        <v>0.70845026073842099</v>
      </c>
      <c r="I72" s="276">
        <v>16.933432251104659</v>
      </c>
      <c r="J72" s="276">
        <f t="shared" ref="J72:J73" si="105">SUM(G72:I72)</f>
        <v>33.891563101260019</v>
      </c>
      <c r="K72" s="276"/>
      <c r="L72" s="276">
        <v>14.856909048548848</v>
      </c>
      <c r="M72" s="276">
        <v>0.94478226683510835</v>
      </c>
      <c r="N72" s="276">
        <v>16.003808914012861</v>
      </c>
      <c r="O72" s="276">
        <f t="shared" ref="O72:O73" si="106">SUM(L72:N72)</f>
        <v>31.80550022939682</v>
      </c>
      <c r="P72" s="276"/>
      <c r="Q72" s="276">
        <v>14.614740592759709</v>
      </c>
      <c r="R72" s="276">
        <v>0.95850575883773881</v>
      </c>
      <c r="S72" s="276">
        <v>16.103292302921702</v>
      </c>
      <c r="T72" s="276">
        <f t="shared" ref="T72:T73" si="107">SUM(Q72:S72)</f>
        <v>31.676538654519149</v>
      </c>
      <c r="U72" s="276"/>
      <c r="V72" s="276">
        <v>14.345881332583852</v>
      </c>
      <c r="W72" s="276">
        <v>1.0069258754789476</v>
      </c>
      <c r="X72" s="276">
        <v>16.683827861719532</v>
      </c>
      <c r="Y72" s="276">
        <f t="shared" ref="Y72:Y73" si="108">SUM(V72:X72)</f>
        <v>32.036635069782335</v>
      </c>
    </row>
    <row r="73" spans="1:25">
      <c r="A73" s="240" t="s">
        <v>143</v>
      </c>
      <c r="B73" s="277">
        <f>SUM(B71:B72)</f>
        <v>18.996375151153817</v>
      </c>
      <c r="C73" s="277">
        <f t="shared" ref="C73" si="109">SUM(C71:C72)</f>
        <v>3.0460800339913416</v>
      </c>
      <c r="D73" s="277">
        <f t="shared" ref="D73" si="110">SUM(D71:D72)</f>
        <v>9.7205448148548115</v>
      </c>
      <c r="E73" s="277">
        <f t="shared" si="104"/>
        <v>31.76299999999997</v>
      </c>
      <c r="F73" s="277"/>
      <c r="G73" s="277">
        <f>SUM(G71:G72)</f>
        <v>19.071132332763298</v>
      </c>
      <c r="H73" s="277">
        <f t="shared" ref="H73" si="111">SUM(H71:H72)</f>
        <v>2.3000570500491504</v>
      </c>
      <c r="I73" s="277">
        <f t="shared" ref="I73" si="112">SUM(I71:I72)</f>
        <v>17.703810617187461</v>
      </c>
      <c r="J73" s="277">
        <f t="shared" si="105"/>
        <v>39.07499999999991</v>
      </c>
      <c r="K73" s="277"/>
      <c r="L73" s="277">
        <f>SUM(L71:L72)</f>
        <v>17.584231145280341</v>
      </c>
      <c r="M73" s="277">
        <f t="shared" ref="M73" si="113">SUM(M71:M72)</f>
        <v>2.6490422035919363</v>
      </c>
      <c r="N73" s="277">
        <f t="shared" ref="N73" si="114">SUM(N71:N72)</f>
        <v>16.781726651127684</v>
      </c>
      <c r="O73" s="277">
        <f t="shared" si="106"/>
        <v>37.014999999999958</v>
      </c>
      <c r="P73" s="277"/>
      <c r="Q73" s="277">
        <f>SUM(Q71:Q72)</f>
        <v>17.343722098669534</v>
      </c>
      <c r="R73" s="277">
        <f t="shared" ref="R73" si="115">SUM(R71:R72)</f>
        <v>2.6750419583477978</v>
      </c>
      <c r="S73" s="277">
        <f t="shared" ref="S73" si="116">SUM(S71:S72)</f>
        <v>16.885235942982661</v>
      </c>
      <c r="T73" s="277">
        <f t="shared" si="107"/>
        <v>36.903999999999996</v>
      </c>
      <c r="U73" s="277"/>
      <c r="V73" s="277">
        <f>SUM(V71:V72)</f>
        <v>17.149881514010616</v>
      </c>
      <c r="W73" s="277">
        <f t="shared" ref="W73" si="117">SUM(W71:W72)</f>
        <v>2.7902507058482717</v>
      </c>
      <c r="X73" s="277">
        <f t="shared" ref="X73" si="118">SUM(X71:X72)</f>
        <v>17.50986778014105</v>
      </c>
      <c r="Y73" s="277">
        <f t="shared" si="108"/>
        <v>37.449999999999939</v>
      </c>
    </row>
    <row r="74" spans="1:25">
      <c r="C74" s="239"/>
    </row>
    <row r="75" spans="1:25">
      <c r="C75" s="239"/>
    </row>
    <row r="76" spans="1:25">
      <c r="C76" s="239"/>
    </row>
    <row r="77" spans="1:25" ht="15">
      <c r="A77" s="241" t="str">
        <f>"Industry 9 : "&amp; name!B12</f>
        <v>Industry 9 : Wholesale and retail trade</v>
      </c>
      <c r="B77" s="346">
        <f>$B$5</f>
        <v>2015</v>
      </c>
      <c r="C77" s="346"/>
      <c r="D77" s="346"/>
      <c r="E77" s="346"/>
      <c r="F77" s="291"/>
      <c r="G77" s="346">
        <f>$G$5</f>
        <v>2019</v>
      </c>
      <c r="H77" s="346"/>
      <c r="I77" s="346"/>
      <c r="J77" s="346"/>
      <c r="K77" s="291"/>
      <c r="L77" s="346">
        <f>$L$5</f>
        <v>2020</v>
      </c>
      <c r="M77" s="346"/>
      <c r="N77" s="346"/>
      <c r="O77" s="346"/>
      <c r="P77" s="289"/>
      <c r="Q77" s="346">
        <f>$Q$5</f>
        <v>2025</v>
      </c>
      <c r="R77" s="346"/>
      <c r="S77" s="346"/>
      <c r="T77" s="346"/>
      <c r="U77" s="291"/>
      <c r="V77" s="346">
        <f>$V$5</f>
        <v>2035</v>
      </c>
      <c r="W77" s="346"/>
      <c r="X77" s="346"/>
      <c r="Y77" s="346"/>
    </row>
    <row r="78" spans="1:25">
      <c r="A78" s="240"/>
      <c r="B78" s="244" t="str">
        <f>$B$6</f>
        <v>FT</v>
      </c>
      <c r="C78" s="244" t="str">
        <f>$C$6</f>
        <v>PT</v>
      </c>
      <c r="D78" s="244" t="str">
        <f>$D$6</f>
        <v>SE</v>
      </c>
      <c r="E78" s="244" t="str">
        <f>$E$6</f>
        <v>Total</v>
      </c>
      <c r="F78" s="244"/>
      <c r="G78" s="244" t="str">
        <f>$B$6</f>
        <v>FT</v>
      </c>
      <c r="H78" s="244" t="str">
        <f>$C$6</f>
        <v>PT</v>
      </c>
      <c r="I78" s="244" t="str">
        <f>$D$6</f>
        <v>SE</v>
      </c>
      <c r="J78" s="244" t="str">
        <f>$E$6</f>
        <v>Total</v>
      </c>
      <c r="K78" s="244"/>
      <c r="L78" s="244" t="str">
        <f>$L$6</f>
        <v>FT</v>
      </c>
      <c r="M78" s="244" t="str">
        <f>$M$6</f>
        <v>PT</v>
      </c>
      <c r="N78" s="244" t="str">
        <f>$N$6</f>
        <v>SE</v>
      </c>
      <c r="O78" s="244" t="str">
        <f>$O$6</f>
        <v>Total</v>
      </c>
      <c r="P78" s="244"/>
      <c r="Q78" s="244" t="str">
        <f>$L$6</f>
        <v>FT</v>
      </c>
      <c r="R78" s="244" t="str">
        <f>$M$6</f>
        <v>PT</v>
      </c>
      <c r="S78" s="244" t="str">
        <f>$N$6</f>
        <v>SE</v>
      </c>
      <c r="T78" s="244" t="str">
        <f>$O$6</f>
        <v>Total</v>
      </c>
      <c r="U78" s="244"/>
      <c r="V78" s="244" t="str">
        <f>$V$6</f>
        <v>FT</v>
      </c>
      <c r="W78" s="244" t="str">
        <f>$W$6</f>
        <v>PT</v>
      </c>
      <c r="X78" s="244" t="str">
        <f>$X$6</f>
        <v>SE</v>
      </c>
      <c r="Y78" s="244" t="str">
        <f>$Y$6</f>
        <v>Total</v>
      </c>
    </row>
    <row r="79" spans="1:25">
      <c r="C79" s="290"/>
      <c r="D79" s="290"/>
      <c r="E79" s="290"/>
      <c r="F79" s="290"/>
      <c r="G79" s="290"/>
      <c r="H79" s="290"/>
      <c r="I79" s="290"/>
      <c r="J79" s="290"/>
      <c r="K79" s="290"/>
      <c r="L79" s="290"/>
      <c r="M79" s="290"/>
      <c r="N79" s="290"/>
      <c r="O79" s="290"/>
      <c r="P79" s="290"/>
      <c r="Q79" s="290"/>
      <c r="R79" s="290"/>
      <c r="S79" s="290"/>
      <c r="T79" s="290"/>
      <c r="U79" s="290"/>
      <c r="V79" s="290"/>
      <c r="W79" s="290"/>
      <c r="X79" s="290"/>
      <c r="Y79" s="290"/>
    </row>
    <row r="80" spans="1:25">
      <c r="A80" s="236" t="s">
        <v>142</v>
      </c>
      <c r="B80" s="276">
        <v>16.151098216912526</v>
      </c>
      <c r="C80" s="276">
        <v>23.016901709327065</v>
      </c>
      <c r="D80" s="276">
        <v>1.1840362631283865</v>
      </c>
      <c r="E80" s="276">
        <f>SUM(B80:D80)</f>
        <v>40.352036189367972</v>
      </c>
      <c r="F80" s="276"/>
      <c r="G80" s="276">
        <v>16.189976853457793</v>
      </c>
      <c r="H80" s="276">
        <v>20.919719052181929</v>
      </c>
      <c r="I80" s="276">
        <v>1.2081075904138119</v>
      </c>
      <c r="J80" s="276">
        <f>SUM(G80:I80)</f>
        <v>38.317803496053536</v>
      </c>
      <c r="K80" s="276"/>
      <c r="L80" s="276">
        <v>16.01549415985583</v>
      </c>
      <c r="M80" s="276">
        <v>20.753541608585969</v>
      </c>
      <c r="N80" s="276">
        <v>2.4222768022884913</v>
      </c>
      <c r="O80" s="276">
        <f>SUM(L80:N80)</f>
        <v>39.19131257073029</v>
      </c>
      <c r="P80" s="276"/>
      <c r="Q80" s="276">
        <v>16.775514667818218</v>
      </c>
      <c r="R80" s="276">
        <v>20.052219250338826</v>
      </c>
      <c r="S80" s="276">
        <v>2.5031558045641416</v>
      </c>
      <c r="T80" s="276">
        <f>SUM(Q80:S80)</f>
        <v>39.330889722721189</v>
      </c>
      <c r="U80" s="276"/>
      <c r="V80" s="276">
        <v>18.147120920183365</v>
      </c>
      <c r="W80" s="276">
        <v>18.767540366049779</v>
      </c>
      <c r="X80" s="276">
        <v>2.6802041184999021</v>
      </c>
      <c r="Y80" s="276">
        <f>SUM(V80:X80)</f>
        <v>39.594865404733042</v>
      </c>
    </row>
    <row r="81" spans="1:25">
      <c r="A81" s="236" t="s">
        <v>141</v>
      </c>
      <c r="B81" s="276">
        <v>35.95111700934244</v>
      </c>
      <c r="C81" s="276">
        <v>10.515326629909627</v>
      </c>
      <c r="D81" s="276">
        <v>5.247520171379997</v>
      </c>
      <c r="E81" s="276">
        <f t="shared" ref="E81:E82" si="119">SUM(B81:D81)</f>
        <v>51.713963810632059</v>
      </c>
      <c r="F81" s="276"/>
      <c r="G81" s="276">
        <v>34.748064490162449</v>
      </c>
      <c r="H81" s="276">
        <v>9.7863979567608261</v>
      </c>
      <c r="I81" s="276">
        <v>5.7077340570230382</v>
      </c>
      <c r="J81" s="276">
        <f t="shared" ref="J81:J82" si="120">SUM(G81:I81)</f>
        <v>50.24219650394631</v>
      </c>
      <c r="K81" s="276"/>
      <c r="L81" s="276">
        <v>33.177553672226054</v>
      </c>
      <c r="M81" s="276">
        <v>11.944242187181947</v>
      </c>
      <c r="N81" s="276">
        <v>2.7608915698618275</v>
      </c>
      <c r="O81" s="276">
        <f t="shared" ref="O81:O82" si="121">SUM(L81:N81)</f>
        <v>47.882687429269829</v>
      </c>
      <c r="P81" s="276"/>
      <c r="Q81" s="276">
        <v>33.7455485998751</v>
      </c>
      <c r="R81" s="276">
        <v>11.994829655333049</v>
      </c>
      <c r="S81" s="276">
        <v>2.8077320220706103</v>
      </c>
      <c r="T81" s="276">
        <f t="shared" ref="T81:T82" si="122">SUM(Q81:S81)</f>
        <v>48.548110277278759</v>
      </c>
      <c r="U81" s="276"/>
      <c r="V81" s="276">
        <v>34.233865727405188</v>
      </c>
      <c r="W81" s="276">
        <v>12.142044240990332</v>
      </c>
      <c r="X81" s="276">
        <v>2.8722246268712932</v>
      </c>
      <c r="Y81" s="276">
        <f t="shared" ref="Y81:Y82" si="123">SUM(V81:X81)</f>
        <v>49.248134595266812</v>
      </c>
    </row>
    <row r="82" spans="1:25">
      <c r="A82" s="240" t="s">
        <v>143</v>
      </c>
      <c r="B82" s="277">
        <f>SUM(B80:B81)</f>
        <v>52.10221522625497</v>
      </c>
      <c r="C82" s="277">
        <f t="shared" ref="C82" si="124">SUM(C80:C81)</f>
        <v>33.532228339236696</v>
      </c>
      <c r="D82" s="277">
        <f t="shared" ref="D82" si="125">SUM(D80:D81)</f>
        <v>6.4315564345083835</v>
      </c>
      <c r="E82" s="277">
        <f t="shared" si="119"/>
        <v>92.066000000000045</v>
      </c>
      <c r="F82" s="277"/>
      <c r="G82" s="277">
        <f>SUM(G80:G81)</f>
        <v>50.938041343620242</v>
      </c>
      <c r="H82" s="277">
        <f t="shared" ref="H82" si="126">SUM(H80:H81)</f>
        <v>30.706117008942755</v>
      </c>
      <c r="I82" s="277">
        <f t="shared" ref="I82" si="127">SUM(I80:I81)</f>
        <v>6.9158416474368503</v>
      </c>
      <c r="J82" s="277">
        <f t="shared" si="120"/>
        <v>88.559999999999846</v>
      </c>
      <c r="K82" s="277"/>
      <c r="L82" s="277">
        <f>SUM(L80:L81)</f>
        <v>49.193047832081888</v>
      </c>
      <c r="M82" s="277">
        <f t="shared" ref="M82" si="128">SUM(M80:M81)</f>
        <v>32.697783795767918</v>
      </c>
      <c r="N82" s="277">
        <f t="shared" ref="N82" si="129">SUM(N80:N81)</f>
        <v>5.1831683721503188</v>
      </c>
      <c r="O82" s="277">
        <f t="shared" si="121"/>
        <v>87.074000000000126</v>
      </c>
      <c r="P82" s="277"/>
      <c r="Q82" s="277">
        <f>SUM(Q80:Q81)</f>
        <v>50.521063267693322</v>
      </c>
      <c r="R82" s="277">
        <f t="shared" ref="R82" si="130">SUM(R80:R81)</f>
        <v>32.047048905671872</v>
      </c>
      <c r="S82" s="277">
        <f t="shared" ref="S82" si="131">SUM(S80:S81)</f>
        <v>5.3108878266347519</v>
      </c>
      <c r="T82" s="277">
        <f t="shared" si="122"/>
        <v>87.878999999999948</v>
      </c>
      <c r="U82" s="277"/>
      <c r="V82" s="277">
        <f>SUM(V80:V81)</f>
        <v>52.380986647588557</v>
      </c>
      <c r="W82" s="277">
        <f t="shared" ref="W82" si="132">SUM(W80:W81)</f>
        <v>30.909584607040109</v>
      </c>
      <c r="X82" s="277">
        <f t="shared" ref="X82" si="133">SUM(X80:X81)</f>
        <v>5.5524287453711949</v>
      </c>
      <c r="Y82" s="277">
        <f t="shared" si="123"/>
        <v>88.842999999999876</v>
      </c>
    </row>
    <row r="83" spans="1:25">
      <c r="A83" s="242"/>
      <c r="B83" s="291"/>
      <c r="C83" s="291"/>
      <c r="D83" s="291"/>
      <c r="E83" s="291"/>
      <c r="F83" s="291"/>
      <c r="G83" s="291"/>
      <c r="H83" s="291"/>
      <c r="I83" s="291"/>
      <c r="J83" s="291"/>
      <c r="K83" s="291"/>
      <c r="L83" s="291"/>
      <c r="M83" s="291"/>
      <c r="N83" s="291"/>
      <c r="O83" s="291"/>
      <c r="P83" s="291"/>
      <c r="Q83" s="291"/>
      <c r="R83" s="291"/>
      <c r="S83" s="291"/>
      <c r="T83" s="291"/>
      <c r="U83" s="291"/>
      <c r="V83" s="291"/>
      <c r="W83" s="291"/>
      <c r="X83" s="291"/>
      <c r="Y83" s="291"/>
    </row>
    <row r="84" spans="1:25">
      <c r="C84" s="239"/>
    </row>
    <row r="85" spans="1:25">
      <c r="A85" s="237"/>
    </row>
    <row r="86" spans="1:25" ht="15">
      <c r="A86" s="241" t="str">
        <f>"Industry 10 : "&amp; name!B13</f>
        <v>Industry 10 : Transport and storage</v>
      </c>
      <c r="B86" s="346">
        <f>$B$5</f>
        <v>2015</v>
      </c>
      <c r="C86" s="346"/>
      <c r="D86" s="346"/>
      <c r="E86" s="346"/>
      <c r="F86" s="291"/>
      <c r="G86" s="346">
        <f>$G$5</f>
        <v>2019</v>
      </c>
      <c r="H86" s="346"/>
      <c r="I86" s="346"/>
      <c r="J86" s="346"/>
      <c r="K86" s="291"/>
      <c r="L86" s="346">
        <f>$L$5</f>
        <v>2020</v>
      </c>
      <c r="M86" s="346"/>
      <c r="N86" s="346"/>
      <c r="O86" s="346"/>
      <c r="P86" s="289"/>
      <c r="Q86" s="346">
        <f>$Q$5</f>
        <v>2025</v>
      </c>
      <c r="R86" s="346"/>
      <c r="S86" s="346"/>
      <c r="T86" s="346"/>
      <c r="U86" s="291"/>
      <c r="V86" s="346">
        <f>$V$5</f>
        <v>2035</v>
      </c>
      <c r="W86" s="346"/>
      <c r="X86" s="346"/>
      <c r="Y86" s="346"/>
    </row>
    <row r="87" spans="1:25">
      <c r="A87" s="240"/>
      <c r="B87" s="244" t="str">
        <f>$B$6</f>
        <v>FT</v>
      </c>
      <c r="C87" s="244" t="str">
        <f>$C$6</f>
        <v>PT</v>
      </c>
      <c r="D87" s="244" t="str">
        <f>$D$6</f>
        <v>SE</v>
      </c>
      <c r="E87" s="244" t="str">
        <f>$E$6</f>
        <v>Total</v>
      </c>
      <c r="F87" s="244"/>
      <c r="G87" s="244" t="str">
        <f>$B$6</f>
        <v>FT</v>
      </c>
      <c r="H87" s="244" t="str">
        <f>$C$6</f>
        <v>PT</v>
      </c>
      <c r="I87" s="244" t="str">
        <f>$D$6</f>
        <v>SE</v>
      </c>
      <c r="J87" s="244" t="str">
        <f>$E$6</f>
        <v>Total</v>
      </c>
      <c r="K87" s="244"/>
      <c r="L87" s="244" t="str">
        <f>$L$6</f>
        <v>FT</v>
      </c>
      <c r="M87" s="244" t="str">
        <f>$M$6</f>
        <v>PT</v>
      </c>
      <c r="N87" s="244" t="str">
        <f>$N$6</f>
        <v>SE</v>
      </c>
      <c r="O87" s="244" t="str">
        <f>$O$6</f>
        <v>Total</v>
      </c>
      <c r="P87" s="244"/>
      <c r="Q87" s="244" t="str">
        <f>$L$6</f>
        <v>FT</v>
      </c>
      <c r="R87" s="244" t="str">
        <f>$M$6</f>
        <v>PT</v>
      </c>
      <c r="S87" s="244" t="str">
        <f>$N$6</f>
        <v>SE</v>
      </c>
      <c r="T87" s="244" t="str">
        <f>$O$6</f>
        <v>Total</v>
      </c>
      <c r="U87" s="244"/>
      <c r="V87" s="244" t="str">
        <f>$V$6</f>
        <v>FT</v>
      </c>
      <c r="W87" s="244" t="str">
        <f>$W$6</f>
        <v>PT</v>
      </c>
      <c r="X87" s="244" t="str">
        <f>$X$6</f>
        <v>SE</v>
      </c>
      <c r="Y87" s="244" t="str">
        <f>$Y$6</f>
        <v>Total</v>
      </c>
    </row>
    <row r="88" spans="1:25">
      <c r="C88" s="290"/>
      <c r="D88" s="290"/>
      <c r="E88" s="290"/>
      <c r="F88" s="290"/>
      <c r="G88" s="290"/>
      <c r="H88" s="290"/>
      <c r="I88" s="290"/>
      <c r="J88" s="290"/>
      <c r="K88" s="290"/>
      <c r="L88" s="290"/>
      <c r="M88" s="290"/>
      <c r="N88" s="290"/>
      <c r="O88" s="290"/>
      <c r="P88" s="290"/>
      <c r="Q88" s="290"/>
      <c r="R88" s="290"/>
      <c r="S88" s="290"/>
      <c r="T88" s="290"/>
      <c r="U88" s="290"/>
      <c r="V88" s="290"/>
      <c r="W88" s="290"/>
      <c r="X88" s="290"/>
      <c r="Y88" s="290"/>
    </row>
    <row r="89" spans="1:25">
      <c r="A89" s="236" t="s">
        <v>142</v>
      </c>
      <c r="B89" s="276">
        <v>4.1780921891526877</v>
      </c>
      <c r="C89" s="276">
        <v>2.4006496128216592</v>
      </c>
      <c r="D89" s="276">
        <v>0.25789950348202767</v>
      </c>
      <c r="E89" s="276">
        <f>SUM(B89:D89)</f>
        <v>6.8366413054563751</v>
      </c>
      <c r="F89" s="276"/>
      <c r="G89" s="276">
        <v>4.6533165031464243</v>
      </c>
      <c r="H89" s="276">
        <v>2.8140744085341027</v>
      </c>
      <c r="I89" s="276">
        <v>0.53457391620426875</v>
      </c>
      <c r="J89" s="276">
        <f>SUM(G89:I89)</f>
        <v>8.0019648278847946</v>
      </c>
      <c r="K89" s="276"/>
      <c r="L89" s="276">
        <v>4.2303370113508283</v>
      </c>
      <c r="M89" s="276">
        <v>2.8419969283682058</v>
      </c>
      <c r="N89" s="276">
        <v>0.14140002396142731</v>
      </c>
      <c r="O89" s="276">
        <f>SUM(L89:N89)</f>
        <v>7.2137339636804612</v>
      </c>
      <c r="P89" s="276"/>
      <c r="Q89" s="276">
        <v>4.7529939653002229</v>
      </c>
      <c r="R89" s="276">
        <v>3.2394617806608372</v>
      </c>
      <c r="S89" s="276">
        <v>0.14837501797120517</v>
      </c>
      <c r="T89" s="276">
        <f>SUM(Q89:S89)</f>
        <v>8.1408307639322643</v>
      </c>
      <c r="U89" s="276"/>
      <c r="V89" s="276">
        <v>5.160411617998597</v>
      </c>
      <c r="W89" s="276">
        <v>3.6542100322055133</v>
      </c>
      <c r="X89" s="276">
        <v>0.15022902973186478</v>
      </c>
      <c r="Y89" s="276">
        <f>SUM(V89:X89)</f>
        <v>8.9648506799359744</v>
      </c>
    </row>
    <row r="90" spans="1:25">
      <c r="A90" s="236" t="s">
        <v>141</v>
      </c>
      <c r="B90" s="276">
        <v>20.15944510391062</v>
      </c>
      <c r="C90" s="276">
        <v>1.8301446505659111</v>
      </c>
      <c r="D90" s="276">
        <v>4.6307689400670871</v>
      </c>
      <c r="E90" s="276">
        <f t="shared" ref="E90:E91" si="134">SUM(B90:D90)</f>
        <v>26.620358694543619</v>
      </c>
      <c r="F90" s="276"/>
      <c r="G90" s="276">
        <v>17.95234151558833</v>
      </c>
      <c r="H90" s="276">
        <v>2.0731517392720029</v>
      </c>
      <c r="I90" s="276">
        <v>6.1455419172548842</v>
      </c>
      <c r="J90" s="276">
        <f t="shared" ref="J90:J91" si="135">SUM(G90:I90)</f>
        <v>26.171035172115218</v>
      </c>
      <c r="K90" s="276"/>
      <c r="L90" s="276">
        <v>17.726323308590771</v>
      </c>
      <c r="M90" s="276">
        <v>3.2812700992073967</v>
      </c>
      <c r="N90" s="276">
        <v>4.7266726285213307</v>
      </c>
      <c r="O90" s="276">
        <f t="shared" ref="O90:O91" si="136">SUM(L90:N90)</f>
        <v>25.7342660363195</v>
      </c>
      <c r="P90" s="276"/>
      <c r="Q90" s="276">
        <v>19.136275605188779</v>
      </c>
      <c r="R90" s="276">
        <v>3.5654588153148854</v>
      </c>
      <c r="S90" s="276">
        <v>5.1214348155640632</v>
      </c>
      <c r="T90" s="276">
        <f t="shared" ref="T90:T91" si="137">SUM(Q90:S90)</f>
        <v>27.823169236067727</v>
      </c>
      <c r="U90" s="276"/>
      <c r="V90" s="276">
        <v>19.502750418574461</v>
      </c>
      <c r="W90" s="276">
        <v>3.8273734344721961</v>
      </c>
      <c r="X90" s="276">
        <v>5.466025467017408</v>
      </c>
      <c r="Y90" s="276">
        <f t="shared" ref="Y90:Y91" si="138">SUM(V90:X90)</f>
        <v>28.796149320064067</v>
      </c>
    </row>
    <row r="91" spans="1:25">
      <c r="A91" s="240" t="s">
        <v>143</v>
      </c>
      <c r="B91" s="277">
        <f>SUM(B89:B90)</f>
        <v>24.337537293063306</v>
      </c>
      <c r="C91" s="277">
        <f t="shared" ref="C91" si="139">SUM(C89:C90)</f>
        <v>4.2307942633875708</v>
      </c>
      <c r="D91" s="277">
        <f t="shared" ref="D91" si="140">SUM(D89:D90)</f>
        <v>4.8886684435491148</v>
      </c>
      <c r="E91" s="277">
        <f t="shared" si="134"/>
        <v>33.456999999999994</v>
      </c>
      <c r="F91" s="277"/>
      <c r="G91" s="277">
        <f>SUM(G89:G90)</f>
        <v>22.605658018734754</v>
      </c>
      <c r="H91" s="277">
        <f t="shared" ref="H91" si="141">SUM(H89:H90)</f>
        <v>4.8872261478061052</v>
      </c>
      <c r="I91" s="277">
        <f t="shared" ref="I91" si="142">SUM(I89:I90)</f>
        <v>6.6801158334591531</v>
      </c>
      <c r="J91" s="277">
        <f t="shared" si="135"/>
        <v>34.173000000000016</v>
      </c>
      <c r="K91" s="277"/>
      <c r="L91" s="277">
        <f>SUM(L89:L90)</f>
        <v>21.956660319941598</v>
      </c>
      <c r="M91" s="277">
        <f t="shared" ref="M91" si="143">SUM(M89:M90)</f>
        <v>6.1232670275756025</v>
      </c>
      <c r="N91" s="277">
        <f t="shared" ref="N91" si="144">SUM(N89:N90)</f>
        <v>4.8680726524827582</v>
      </c>
      <c r="O91" s="277">
        <f t="shared" si="136"/>
        <v>32.947999999999958</v>
      </c>
      <c r="P91" s="277"/>
      <c r="Q91" s="277">
        <f>SUM(Q89:Q90)</f>
        <v>23.889269570489002</v>
      </c>
      <c r="R91" s="277">
        <f t="shared" ref="R91" si="145">SUM(R89:R90)</f>
        <v>6.8049205959757231</v>
      </c>
      <c r="S91" s="277">
        <f t="shared" ref="S91" si="146">SUM(S89:S90)</f>
        <v>5.2698098335352688</v>
      </c>
      <c r="T91" s="277">
        <f t="shared" si="137"/>
        <v>35.963999999999992</v>
      </c>
      <c r="U91" s="277"/>
      <c r="V91" s="277">
        <f>SUM(V89:V90)</f>
        <v>24.663162036573059</v>
      </c>
      <c r="W91" s="277">
        <f t="shared" ref="W91" si="147">SUM(W89:W90)</f>
        <v>7.4815834666777095</v>
      </c>
      <c r="X91" s="277">
        <f t="shared" ref="X91" si="148">SUM(X89:X90)</f>
        <v>5.6162544967492725</v>
      </c>
      <c r="Y91" s="277">
        <f t="shared" si="138"/>
        <v>37.761000000000038</v>
      </c>
    </row>
    <row r="92" spans="1:25">
      <c r="C92" s="239"/>
    </row>
    <row r="93" spans="1:25">
      <c r="C93" s="239"/>
    </row>
    <row r="94" spans="1:25">
      <c r="C94" s="239"/>
    </row>
    <row r="95" spans="1:25" ht="15">
      <c r="A95" s="241" t="str">
        <f>"Industry 11 : "&amp; name!B14</f>
        <v>Industry 11 : Accommodation and food</v>
      </c>
      <c r="B95" s="346">
        <f>$B$5</f>
        <v>2015</v>
      </c>
      <c r="C95" s="346"/>
      <c r="D95" s="346"/>
      <c r="E95" s="346"/>
      <c r="F95" s="291"/>
      <c r="G95" s="346">
        <f>$G$5</f>
        <v>2019</v>
      </c>
      <c r="H95" s="346"/>
      <c r="I95" s="346"/>
      <c r="J95" s="346"/>
      <c r="K95" s="291"/>
      <c r="L95" s="346">
        <f>$L$5</f>
        <v>2020</v>
      </c>
      <c r="M95" s="346"/>
      <c r="N95" s="346"/>
      <c r="O95" s="346"/>
      <c r="P95" s="289"/>
      <c r="Q95" s="346">
        <f>$Q$5</f>
        <v>2025</v>
      </c>
      <c r="R95" s="346"/>
      <c r="S95" s="346"/>
      <c r="T95" s="346"/>
      <c r="U95" s="291"/>
      <c r="V95" s="346">
        <f>$V$5</f>
        <v>2035</v>
      </c>
      <c r="W95" s="346"/>
      <c r="X95" s="346"/>
      <c r="Y95" s="346"/>
    </row>
    <row r="96" spans="1:25">
      <c r="A96" s="240"/>
      <c r="B96" s="244" t="str">
        <f>$B$6</f>
        <v>FT</v>
      </c>
      <c r="C96" s="244" t="str">
        <f>$C$6</f>
        <v>PT</v>
      </c>
      <c r="D96" s="244" t="str">
        <f>$D$6</f>
        <v>SE</v>
      </c>
      <c r="E96" s="244" t="str">
        <f>$E$6</f>
        <v>Total</v>
      </c>
      <c r="F96" s="244"/>
      <c r="G96" s="244" t="str">
        <f>$B$6</f>
        <v>FT</v>
      </c>
      <c r="H96" s="244" t="str">
        <f>$C$6</f>
        <v>PT</v>
      </c>
      <c r="I96" s="244" t="str">
        <f>$D$6</f>
        <v>SE</v>
      </c>
      <c r="J96" s="244" t="str">
        <f>$E$6</f>
        <v>Total</v>
      </c>
      <c r="K96" s="244"/>
      <c r="L96" s="244" t="str">
        <f>$L$6</f>
        <v>FT</v>
      </c>
      <c r="M96" s="244" t="str">
        <f>$M$6</f>
        <v>PT</v>
      </c>
      <c r="N96" s="244" t="str">
        <f>$N$6</f>
        <v>SE</v>
      </c>
      <c r="O96" s="244" t="str">
        <f>$O$6</f>
        <v>Total</v>
      </c>
      <c r="P96" s="244"/>
      <c r="Q96" s="244" t="str">
        <f>$L$6</f>
        <v>FT</v>
      </c>
      <c r="R96" s="244" t="str">
        <f>$M$6</f>
        <v>PT</v>
      </c>
      <c r="S96" s="244" t="str">
        <f>$N$6</f>
        <v>SE</v>
      </c>
      <c r="T96" s="244" t="str">
        <f>$O$6</f>
        <v>Total</v>
      </c>
      <c r="U96" s="244"/>
      <c r="V96" s="244" t="str">
        <f>$V$6</f>
        <v>FT</v>
      </c>
      <c r="W96" s="244" t="str">
        <f>$W$6</f>
        <v>PT</v>
      </c>
      <c r="X96" s="244" t="str">
        <f>$X$6</f>
        <v>SE</v>
      </c>
      <c r="Y96" s="244" t="str">
        <f>$Y$6</f>
        <v>Total</v>
      </c>
    </row>
    <row r="97" spans="1:25">
      <c r="C97" s="290"/>
      <c r="D97" s="290"/>
      <c r="E97" s="290"/>
      <c r="F97" s="290"/>
      <c r="G97" s="290"/>
      <c r="H97" s="290"/>
      <c r="I97" s="290"/>
      <c r="J97" s="290"/>
      <c r="K97" s="290"/>
      <c r="L97" s="290"/>
      <c r="M97" s="290"/>
      <c r="N97" s="290"/>
      <c r="O97" s="290"/>
      <c r="P97" s="290"/>
      <c r="Q97" s="290"/>
      <c r="R97" s="290"/>
      <c r="S97" s="290"/>
      <c r="T97" s="290"/>
      <c r="U97" s="290"/>
      <c r="V97" s="290"/>
      <c r="W97" s="290"/>
      <c r="X97" s="290"/>
      <c r="Y97" s="290"/>
    </row>
    <row r="98" spans="1:25">
      <c r="A98" s="236" t="s">
        <v>142</v>
      </c>
      <c r="B98" s="276">
        <v>3.5975677146769689</v>
      </c>
      <c r="C98" s="276">
        <v>7.3190523871376225</v>
      </c>
      <c r="D98" s="276">
        <v>0.71514000327557281</v>
      </c>
      <c r="E98" s="276">
        <f>SUM(B98:D98)</f>
        <v>11.631760105090164</v>
      </c>
      <c r="F98" s="276"/>
      <c r="G98" s="276">
        <v>3.7956749314647782</v>
      </c>
      <c r="H98" s="276">
        <v>8.5974454266296387</v>
      </c>
      <c r="I98" s="276">
        <v>0.44333201548203199</v>
      </c>
      <c r="J98" s="276">
        <f>SUM(G98:I98)</f>
        <v>12.836452373576449</v>
      </c>
      <c r="K98" s="276"/>
      <c r="L98" s="276">
        <v>4.401093764301204</v>
      </c>
      <c r="M98" s="276">
        <v>8.3459116396121971</v>
      </c>
      <c r="N98" s="276">
        <v>0.78432530947503565</v>
      </c>
      <c r="O98" s="276">
        <f>SUM(L98:N98)</f>
        <v>13.531330713388437</v>
      </c>
      <c r="P98" s="276"/>
      <c r="Q98" s="276">
        <v>4.6710070978596896</v>
      </c>
      <c r="R98" s="276">
        <v>8.8211657930107918</v>
      </c>
      <c r="S98" s="276">
        <v>0.81050662893217607</v>
      </c>
      <c r="T98" s="276">
        <f>SUM(Q98:S98)</f>
        <v>14.302679519802657</v>
      </c>
      <c r="U98" s="276"/>
      <c r="V98" s="276">
        <v>5.2799039235559002</v>
      </c>
      <c r="W98" s="276">
        <v>9.7977085073896326</v>
      </c>
      <c r="X98" s="276">
        <v>0.90016359100774768</v>
      </c>
      <c r="Y98" s="276">
        <f>SUM(V98:X98)</f>
        <v>15.977776021953279</v>
      </c>
    </row>
    <row r="99" spans="1:25">
      <c r="A99" s="236" t="s">
        <v>141</v>
      </c>
      <c r="B99" s="276">
        <v>4.7199770340915936</v>
      </c>
      <c r="C99" s="276">
        <v>4.8470747478745251</v>
      </c>
      <c r="D99" s="276">
        <v>0.70718811294368011</v>
      </c>
      <c r="E99" s="276">
        <f t="shared" ref="E99:E100" si="149">SUM(B99:D99)</f>
        <v>10.274239894909797</v>
      </c>
      <c r="F99" s="276"/>
      <c r="G99" s="276">
        <v>5.2627057976159994</v>
      </c>
      <c r="H99" s="276">
        <v>5.1570860749447034</v>
      </c>
      <c r="I99" s="276">
        <v>0.7187557538628413</v>
      </c>
      <c r="J99" s="276">
        <f t="shared" ref="J99:J100" si="150">SUM(G99:I99)</f>
        <v>11.138547626423545</v>
      </c>
      <c r="K99" s="276"/>
      <c r="L99" s="276">
        <v>5.170048077548083</v>
      </c>
      <c r="M99" s="276">
        <v>5.5002548305967149</v>
      </c>
      <c r="N99" s="276">
        <v>0.50036637846677168</v>
      </c>
      <c r="O99" s="276">
        <f t="shared" ref="O99:O100" si="151">SUM(L99:N99)</f>
        <v>11.17066928661157</v>
      </c>
      <c r="P99" s="276"/>
      <c r="Q99" s="276">
        <v>5.4899620916786063</v>
      </c>
      <c r="R99" s="276">
        <v>5.8559238042156379</v>
      </c>
      <c r="S99" s="276">
        <v>0.51843458430314338</v>
      </c>
      <c r="T99" s="276">
        <f t="shared" ref="T99:T100" si="152">SUM(Q99:S99)</f>
        <v>11.864320480197389</v>
      </c>
      <c r="U99" s="276"/>
      <c r="V99" s="276">
        <v>6.2486526234888151</v>
      </c>
      <c r="W99" s="276">
        <v>6.548920018930863</v>
      </c>
      <c r="X99" s="276">
        <v>0.57665133562701887</v>
      </c>
      <c r="Y99" s="276">
        <f t="shared" ref="Y99:Y100" si="153">SUM(V99:X99)</f>
        <v>13.374223978046697</v>
      </c>
    </row>
    <row r="100" spans="1:25">
      <c r="A100" s="240" t="s">
        <v>143</v>
      </c>
      <c r="B100" s="277">
        <f>SUM(B98:B99)</f>
        <v>8.3175447487685616</v>
      </c>
      <c r="C100" s="277">
        <f t="shared" ref="C100" si="154">SUM(C98:C99)</f>
        <v>12.166127135012147</v>
      </c>
      <c r="D100" s="277">
        <f t="shared" ref="D100" si="155">SUM(D98:D99)</f>
        <v>1.4223281162192529</v>
      </c>
      <c r="E100" s="277">
        <f t="shared" si="149"/>
        <v>21.90599999999996</v>
      </c>
      <c r="F100" s="277"/>
      <c r="G100" s="277">
        <f>SUM(G98:G99)</f>
        <v>9.0583807290807776</v>
      </c>
      <c r="H100" s="277">
        <f t="shared" ref="H100" si="156">SUM(H98:H99)</f>
        <v>13.754531501574341</v>
      </c>
      <c r="I100" s="277">
        <f t="shared" ref="I100" si="157">SUM(I98:I99)</f>
        <v>1.1620877693448732</v>
      </c>
      <c r="J100" s="277">
        <f t="shared" si="150"/>
        <v>23.974999999999991</v>
      </c>
      <c r="K100" s="277"/>
      <c r="L100" s="277">
        <f>SUM(L98:L99)</f>
        <v>9.5711418418492862</v>
      </c>
      <c r="M100" s="277">
        <f t="shared" ref="M100" si="158">SUM(M98:M99)</f>
        <v>13.846166470208912</v>
      </c>
      <c r="N100" s="277">
        <f t="shared" ref="N100" si="159">SUM(N98:N99)</f>
        <v>1.2846916879418073</v>
      </c>
      <c r="O100" s="277">
        <f t="shared" si="151"/>
        <v>24.702000000000005</v>
      </c>
      <c r="P100" s="277"/>
      <c r="Q100" s="277">
        <f>SUM(Q98:Q99)</f>
        <v>10.160969189538296</v>
      </c>
      <c r="R100" s="277">
        <f t="shared" ref="R100" si="160">SUM(R98:R99)</f>
        <v>14.677089597226431</v>
      </c>
      <c r="S100" s="277">
        <f t="shared" ref="S100" si="161">SUM(S98:S99)</f>
        <v>1.3289412132353196</v>
      </c>
      <c r="T100" s="277">
        <f t="shared" si="152"/>
        <v>26.167000000000044</v>
      </c>
      <c r="U100" s="277"/>
      <c r="V100" s="277">
        <f>SUM(V98:V99)</f>
        <v>11.528556547044715</v>
      </c>
      <c r="W100" s="277">
        <f t="shared" ref="W100" si="162">SUM(W98:W99)</f>
        <v>16.346628526320494</v>
      </c>
      <c r="X100" s="277">
        <f t="shared" ref="X100" si="163">SUM(X98:X99)</f>
        <v>1.4768149266347665</v>
      </c>
      <c r="Y100" s="277">
        <f t="shared" si="153"/>
        <v>29.351999999999975</v>
      </c>
    </row>
    <row r="101" spans="1:25">
      <c r="C101" s="239"/>
    </row>
    <row r="102" spans="1:25">
      <c r="C102" s="239"/>
    </row>
    <row r="103" spans="1:25">
      <c r="C103" s="239"/>
    </row>
    <row r="104" spans="1:25" ht="15">
      <c r="A104" s="241" t="str">
        <f>"Industry 12 : "&amp; name!B15</f>
        <v>Industry 12 : Media</v>
      </c>
      <c r="B104" s="346">
        <f>$B$5</f>
        <v>2015</v>
      </c>
      <c r="C104" s="346"/>
      <c r="D104" s="346"/>
      <c r="E104" s="346"/>
      <c r="F104" s="291"/>
      <c r="G104" s="346">
        <f>$G$5</f>
        <v>2019</v>
      </c>
      <c r="H104" s="346"/>
      <c r="I104" s="346"/>
      <c r="J104" s="346"/>
      <c r="K104" s="291"/>
      <c r="L104" s="346">
        <f>$L$5</f>
        <v>2020</v>
      </c>
      <c r="M104" s="346"/>
      <c r="N104" s="346"/>
      <c r="O104" s="346"/>
      <c r="P104" s="289"/>
      <c r="Q104" s="346">
        <f>$Q$5</f>
        <v>2025</v>
      </c>
      <c r="R104" s="346"/>
      <c r="S104" s="346"/>
      <c r="T104" s="346"/>
      <c r="U104" s="291"/>
      <c r="V104" s="346">
        <f>$V$5</f>
        <v>2035</v>
      </c>
      <c r="W104" s="346"/>
      <c r="X104" s="346"/>
      <c r="Y104" s="346"/>
    </row>
    <row r="105" spans="1:25">
      <c r="A105" s="240"/>
      <c r="B105" s="244" t="str">
        <f>$B$6</f>
        <v>FT</v>
      </c>
      <c r="C105" s="244" t="str">
        <f>$C$6</f>
        <v>PT</v>
      </c>
      <c r="D105" s="244" t="str">
        <f>$D$6</f>
        <v>SE</v>
      </c>
      <c r="E105" s="244" t="str">
        <f>$E$6</f>
        <v>Total</v>
      </c>
      <c r="F105" s="244"/>
      <c r="G105" s="244" t="str">
        <f>$B$6</f>
        <v>FT</v>
      </c>
      <c r="H105" s="244" t="str">
        <f>$C$6</f>
        <v>PT</v>
      </c>
      <c r="I105" s="244" t="str">
        <f>$D$6</f>
        <v>SE</v>
      </c>
      <c r="J105" s="244" t="str">
        <f>$E$6</f>
        <v>Total</v>
      </c>
      <c r="K105" s="244"/>
      <c r="L105" s="244" t="str">
        <f>$L$6</f>
        <v>FT</v>
      </c>
      <c r="M105" s="244" t="str">
        <f>$M$6</f>
        <v>PT</v>
      </c>
      <c r="N105" s="244" t="str">
        <f>$N$6</f>
        <v>SE</v>
      </c>
      <c r="O105" s="244" t="str">
        <f>$O$6</f>
        <v>Total</v>
      </c>
      <c r="P105" s="244"/>
      <c r="Q105" s="244" t="str">
        <f>$L$6</f>
        <v>FT</v>
      </c>
      <c r="R105" s="244" t="str">
        <f>$M$6</f>
        <v>PT</v>
      </c>
      <c r="S105" s="244" t="str">
        <f>$N$6</f>
        <v>SE</v>
      </c>
      <c r="T105" s="244" t="str">
        <f>$O$6</f>
        <v>Total</v>
      </c>
      <c r="U105" s="244"/>
      <c r="V105" s="244" t="str">
        <f>$V$6</f>
        <v>FT</v>
      </c>
      <c r="W105" s="244" t="str">
        <f>$W$6</f>
        <v>PT</v>
      </c>
      <c r="X105" s="244" t="str">
        <f>$X$6</f>
        <v>SE</v>
      </c>
      <c r="Y105" s="244" t="str">
        <f>$Y$6</f>
        <v>Total</v>
      </c>
    </row>
    <row r="106" spans="1:25">
      <c r="C106" s="290"/>
      <c r="D106" s="290"/>
      <c r="E106" s="290"/>
      <c r="F106" s="290"/>
      <c r="G106" s="290"/>
      <c r="H106" s="290"/>
      <c r="I106" s="290"/>
      <c r="J106" s="290"/>
      <c r="K106" s="290"/>
      <c r="L106" s="290"/>
      <c r="M106" s="290"/>
      <c r="N106" s="290"/>
      <c r="O106" s="290"/>
      <c r="P106" s="290"/>
      <c r="Q106" s="290"/>
      <c r="R106" s="290"/>
      <c r="S106" s="290"/>
      <c r="T106" s="290"/>
      <c r="U106" s="290"/>
      <c r="V106" s="290"/>
      <c r="W106" s="290"/>
      <c r="X106" s="290"/>
      <c r="Y106" s="290"/>
    </row>
    <row r="107" spans="1:25">
      <c r="A107" s="236" t="s">
        <v>142</v>
      </c>
      <c r="B107" s="276">
        <v>0.27209709220086581</v>
      </c>
      <c r="C107" s="276">
        <v>0.25907944660842774</v>
      </c>
      <c r="D107" s="276">
        <v>0.13413834810879655</v>
      </c>
      <c r="E107" s="276">
        <f>SUM(B107:D107)</f>
        <v>0.66531488691809004</v>
      </c>
      <c r="F107" s="276"/>
      <c r="G107" s="276">
        <v>0.20312040845900117</v>
      </c>
      <c r="H107" s="276">
        <v>0.23945415809166484</v>
      </c>
      <c r="I107" s="276">
        <v>0.22738759917976181</v>
      </c>
      <c r="J107" s="276">
        <f>SUM(G107:I107)</f>
        <v>0.66996216573042777</v>
      </c>
      <c r="K107" s="276"/>
      <c r="L107" s="276">
        <v>0.21410952915727557</v>
      </c>
      <c r="M107" s="276">
        <v>0.29369239414917225</v>
      </c>
      <c r="N107" s="276">
        <v>0.28973960283872358</v>
      </c>
      <c r="O107" s="276">
        <f>SUM(L107:N107)</f>
        <v>0.79754152614517138</v>
      </c>
      <c r="P107" s="276"/>
      <c r="Q107" s="276">
        <v>0.20931775166401248</v>
      </c>
      <c r="R107" s="276">
        <v>0.29140832009119033</v>
      </c>
      <c r="S107" s="276">
        <v>0.28045411240997314</v>
      </c>
      <c r="T107" s="276">
        <f>SUM(Q107:S107)</f>
        <v>0.78118018416517598</v>
      </c>
      <c r="U107" s="276"/>
      <c r="V107" s="276">
        <v>0.21304914342701381</v>
      </c>
      <c r="W107" s="276">
        <v>0.29495060647083837</v>
      </c>
      <c r="X107" s="276">
        <v>0.27098586969456262</v>
      </c>
      <c r="Y107" s="276">
        <f>SUM(V107:X107)</f>
        <v>0.77898561959241475</v>
      </c>
    </row>
    <row r="108" spans="1:25">
      <c r="A108" s="236" t="s">
        <v>141</v>
      </c>
      <c r="B108" s="276">
        <v>0.44939176538255599</v>
      </c>
      <c r="C108" s="276">
        <v>0.10230171485339826</v>
      </c>
      <c r="D108" s="276">
        <v>0.49099163284595365</v>
      </c>
      <c r="E108" s="276">
        <f t="shared" ref="E108:E109" si="164">SUM(B108:D108)</f>
        <v>1.0426851130819079</v>
      </c>
      <c r="F108" s="276"/>
      <c r="G108" s="276">
        <v>0.34470136644106986</v>
      </c>
      <c r="H108" s="276">
        <v>0.21974544519222172</v>
      </c>
      <c r="I108" s="276">
        <v>0.59059102263627916</v>
      </c>
      <c r="J108" s="276">
        <f t="shared" ref="J108:J109" si="165">SUM(G108:I108)</f>
        <v>1.1550378342695709</v>
      </c>
      <c r="K108" s="276"/>
      <c r="L108" s="276">
        <v>0.34929499188066826</v>
      </c>
      <c r="M108" s="276">
        <v>0.20383227175810864</v>
      </c>
      <c r="N108" s="276">
        <v>0.75933121021605365</v>
      </c>
      <c r="O108" s="276">
        <f t="shared" ref="O108:O109" si="166">SUM(L108:N108)</f>
        <v>1.3124584738548306</v>
      </c>
      <c r="P108" s="276"/>
      <c r="Q108" s="276">
        <v>0.33997637344566461</v>
      </c>
      <c r="R108" s="276">
        <v>0.20892181644250141</v>
      </c>
      <c r="S108" s="276">
        <v>0.74792162594665967</v>
      </c>
      <c r="T108" s="276">
        <f t="shared" ref="T108:T109" si="167">SUM(Q108:S108)</f>
        <v>1.2968198158348256</v>
      </c>
      <c r="U108" s="276"/>
      <c r="V108" s="276">
        <v>0.33958822057736909</v>
      </c>
      <c r="W108" s="276">
        <v>0.22503151181113323</v>
      </c>
      <c r="X108" s="276">
        <v>0.76239464801908119</v>
      </c>
      <c r="Y108" s="276">
        <f t="shared" ref="Y108:Y109" si="168">SUM(V108:X108)</f>
        <v>1.3270143804075833</v>
      </c>
    </row>
    <row r="109" spans="1:25">
      <c r="A109" s="240" t="s">
        <v>143</v>
      </c>
      <c r="B109" s="277">
        <f>SUM(B107:B108)</f>
        <v>0.72148885758342174</v>
      </c>
      <c r="C109" s="277">
        <f t="shared" ref="C109" si="169">SUM(C107:C108)</f>
        <v>0.36138116146182597</v>
      </c>
      <c r="D109" s="277">
        <f t="shared" ref="D109" si="170">SUM(D107:D108)</f>
        <v>0.62512998095475014</v>
      </c>
      <c r="E109" s="277">
        <f t="shared" si="164"/>
        <v>1.707999999999998</v>
      </c>
      <c r="F109" s="277"/>
      <c r="G109" s="277">
        <f>SUM(G107:G108)</f>
        <v>0.547821774900071</v>
      </c>
      <c r="H109" s="277">
        <f t="shared" ref="H109" si="171">SUM(H107:H108)</f>
        <v>0.45919960328388654</v>
      </c>
      <c r="I109" s="277">
        <f t="shared" ref="I109" si="172">SUM(I107:I108)</f>
        <v>0.81797862181604097</v>
      </c>
      <c r="J109" s="277">
        <f t="shared" si="165"/>
        <v>1.8249999999999984</v>
      </c>
      <c r="K109" s="277"/>
      <c r="L109" s="277">
        <f>SUM(L107:L108)</f>
        <v>0.56340452103794381</v>
      </c>
      <c r="M109" s="277">
        <f t="shared" ref="M109" si="173">SUM(M107:M108)</f>
        <v>0.49752466590728089</v>
      </c>
      <c r="N109" s="277">
        <f t="shared" ref="N109" si="174">SUM(N107:N108)</f>
        <v>1.0490708130547772</v>
      </c>
      <c r="O109" s="277">
        <f t="shared" si="166"/>
        <v>2.1100000000000021</v>
      </c>
      <c r="P109" s="277"/>
      <c r="Q109" s="277">
        <f>SUM(Q107:Q108)</f>
        <v>0.54929412510967712</v>
      </c>
      <c r="R109" s="277">
        <f t="shared" ref="R109" si="175">SUM(R107:R108)</f>
        <v>0.50033013653369174</v>
      </c>
      <c r="S109" s="277">
        <f t="shared" ref="S109" si="176">SUM(S107:S108)</f>
        <v>1.0283757383566328</v>
      </c>
      <c r="T109" s="277">
        <f t="shared" si="167"/>
        <v>2.0780000000000016</v>
      </c>
      <c r="U109" s="277"/>
      <c r="V109" s="277">
        <f>SUM(V107:V108)</f>
        <v>0.5526373640043829</v>
      </c>
      <c r="W109" s="277">
        <f t="shared" ref="W109" si="177">SUM(W107:W108)</f>
        <v>0.51998211828197161</v>
      </c>
      <c r="X109" s="277">
        <f t="shared" ref="X109" si="178">SUM(X107:X108)</f>
        <v>1.0333805177136437</v>
      </c>
      <c r="Y109" s="277">
        <f t="shared" si="168"/>
        <v>2.1059999999999981</v>
      </c>
    </row>
    <row r="110" spans="1:25">
      <c r="C110" s="239"/>
    </row>
    <row r="111" spans="1:25">
      <c r="C111" s="239"/>
    </row>
    <row r="112" spans="1:25">
      <c r="A112" s="238"/>
    </row>
    <row r="113" spans="1:25" ht="15">
      <c r="A113" s="241" t="str">
        <f>"Industry 13 : "&amp; name!B16</f>
        <v>Industry 13 : Information technology</v>
      </c>
      <c r="B113" s="346">
        <f>$B$5</f>
        <v>2015</v>
      </c>
      <c r="C113" s="346"/>
      <c r="D113" s="346"/>
      <c r="E113" s="346"/>
      <c r="F113" s="291"/>
      <c r="G113" s="346">
        <f>$G$5</f>
        <v>2019</v>
      </c>
      <c r="H113" s="346"/>
      <c r="I113" s="346"/>
      <c r="J113" s="346"/>
      <c r="K113" s="291"/>
      <c r="L113" s="346">
        <f>$L$5</f>
        <v>2020</v>
      </c>
      <c r="M113" s="346"/>
      <c r="N113" s="346"/>
      <c r="O113" s="346"/>
      <c r="P113" s="289"/>
      <c r="Q113" s="346">
        <f>$Q$5</f>
        <v>2025</v>
      </c>
      <c r="R113" s="346"/>
      <c r="S113" s="346"/>
      <c r="T113" s="346"/>
      <c r="U113" s="291"/>
      <c r="V113" s="346">
        <f>$V$5</f>
        <v>2035</v>
      </c>
      <c r="W113" s="346"/>
      <c r="X113" s="346"/>
      <c r="Y113" s="346"/>
    </row>
    <row r="114" spans="1:25">
      <c r="A114" s="240"/>
      <c r="B114" s="244" t="str">
        <f>$B$6</f>
        <v>FT</v>
      </c>
      <c r="C114" s="244" t="str">
        <f>$C$6</f>
        <v>PT</v>
      </c>
      <c r="D114" s="244" t="str">
        <f>$D$6</f>
        <v>SE</v>
      </c>
      <c r="E114" s="244" t="str">
        <f>$E$6</f>
        <v>Total</v>
      </c>
      <c r="F114" s="244"/>
      <c r="G114" s="244" t="str">
        <f>$B$6</f>
        <v>FT</v>
      </c>
      <c r="H114" s="244" t="str">
        <f>$C$6</f>
        <v>PT</v>
      </c>
      <c r="I114" s="244" t="str">
        <f>$D$6</f>
        <v>SE</v>
      </c>
      <c r="J114" s="244" t="str">
        <f>$E$6</f>
        <v>Total</v>
      </c>
      <c r="K114" s="244"/>
      <c r="L114" s="244" t="str">
        <f>$L$6</f>
        <v>FT</v>
      </c>
      <c r="M114" s="244" t="str">
        <f>$M$6</f>
        <v>PT</v>
      </c>
      <c r="N114" s="244" t="str">
        <f>$N$6</f>
        <v>SE</v>
      </c>
      <c r="O114" s="244" t="str">
        <f>$O$6</f>
        <v>Total</v>
      </c>
      <c r="P114" s="244"/>
      <c r="Q114" s="244" t="str">
        <f>$L$6</f>
        <v>FT</v>
      </c>
      <c r="R114" s="244" t="str">
        <f>$M$6</f>
        <v>PT</v>
      </c>
      <c r="S114" s="244" t="str">
        <f>$N$6</f>
        <v>SE</v>
      </c>
      <c r="T114" s="244" t="str">
        <f>$O$6</f>
        <v>Total</v>
      </c>
      <c r="U114" s="244"/>
      <c r="V114" s="244" t="str">
        <f>$V$6</f>
        <v>FT</v>
      </c>
      <c r="W114" s="244" t="str">
        <f>$W$6</f>
        <v>PT</v>
      </c>
      <c r="X114" s="244" t="str">
        <f>$X$6</f>
        <v>SE</v>
      </c>
      <c r="Y114" s="244" t="str">
        <f>$Y$6</f>
        <v>Total</v>
      </c>
    </row>
    <row r="115" spans="1:25">
      <c r="C115" s="290"/>
      <c r="D115" s="290"/>
      <c r="E115" s="290"/>
      <c r="F115" s="290"/>
      <c r="G115" s="290"/>
      <c r="H115" s="290"/>
      <c r="I115" s="290"/>
      <c r="J115" s="290"/>
      <c r="K115" s="290"/>
      <c r="L115" s="290"/>
      <c r="M115" s="290"/>
      <c r="N115" s="290"/>
      <c r="O115" s="290"/>
      <c r="P115" s="290"/>
      <c r="Q115" s="290"/>
      <c r="R115" s="290"/>
      <c r="S115" s="290"/>
      <c r="T115" s="290"/>
      <c r="U115" s="290"/>
      <c r="V115" s="290"/>
      <c r="W115" s="290"/>
      <c r="X115" s="290"/>
      <c r="Y115" s="290"/>
    </row>
    <row r="116" spans="1:25">
      <c r="A116" s="236" t="s">
        <v>142</v>
      </c>
      <c r="B116" s="276">
        <v>1.2688373215038582</v>
      </c>
      <c r="C116" s="276">
        <v>0.6148891299458602</v>
      </c>
      <c r="D116" s="276">
        <v>0.1065920733107337</v>
      </c>
      <c r="E116" s="276">
        <f>SUM(B116:D116)</f>
        <v>1.990318524760452</v>
      </c>
      <c r="F116" s="276"/>
      <c r="G116" s="276">
        <v>1.2490764873089708</v>
      </c>
      <c r="H116" s="276">
        <v>0.37292181943643082</v>
      </c>
      <c r="I116" s="276">
        <v>4.1042068806399164E-2</v>
      </c>
      <c r="J116" s="276">
        <f>SUM(G116:I116)</f>
        <v>1.6630403755518008</v>
      </c>
      <c r="K116" s="276"/>
      <c r="L116" s="276">
        <v>1.5035442654864724</v>
      </c>
      <c r="M116" s="276">
        <v>0.31888090851038681</v>
      </c>
      <c r="N116" s="276">
        <v>0.14856621896856104</v>
      </c>
      <c r="O116" s="276">
        <f>SUM(L116:N116)</f>
        <v>1.9709913929654201</v>
      </c>
      <c r="P116" s="276"/>
      <c r="Q116" s="276">
        <v>1.594017584842399</v>
      </c>
      <c r="R116" s="276">
        <v>0.32575085481158084</v>
      </c>
      <c r="S116" s="276">
        <v>0.15631510158542103</v>
      </c>
      <c r="T116" s="276">
        <f>SUM(Q116:S116)</f>
        <v>2.076083541239401</v>
      </c>
      <c r="U116" s="276"/>
      <c r="V116" s="276">
        <v>1.7086609281467029</v>
      </c>
      <c r="W116" s="276">
        <v>0.32340469061404409</v>
      </c>
      <c r="X116" s="276">
        <v>0.16133358283130916</v>
      </c>
      <c r="Y116" s="276">
        <f>SUM(V116:X116)</f>
        <v>2.1933992015920563</v>
      </c>
    </row>
    <row r="117" spans="1:25">
      <c r="A117" s="236" t="s">
        <v>141</v>
      </c>
      <c r="B117" s="276">
        <v>3.8673763559078274</v>
      </c>
      <c r="C117" s="276">
        <v>0.10849739338856824</v>
      </c>
      <c r="D117" s="276">
        <v>0.57180772594315377</v>
      </c>
      <c r="E117" s="276">
        <f t="shared" ref="E117:E118" si="179">SUM(B117:D117)</f>
        <v>4.5476814752395498</v>
      </c>
      <c r="F117" s="276"/>
      <c r="G117" s="276">
        <v>4.0522399446167299</v>
      </c>
      <c r="H117" s="276">
        <v>0.19743498806741236</v>
      </c>
      <c r="I117" s="276">
        <v>0.48128469176406774</v>
      </c>
      <c r="J117" s="276">
        <f t="shared" ref="J117:J118" si="180">SUM(G117:I117)</f>
        <v>4.7309596244482099</v>
      </c>
      <c r="K117" s="276"/>
      <c r="L117" s="276">
        <v>3.7542693200458546</v>
      </c>
      <c r="M117" s="276">
        <v>0.19940931017216984</v>
      </c>
      <c r="N117" s="276">
        <v>0.94832997681654263</v>
      </c>
      <c r="O117" s="276">
        <f t="shared" ref="O117:O118" si="181">SUM(L117:N117)</f>
        <v>4.902008607034567</v>
      </c>
      <c r="P117" s="276"/>
      <c r="Q117" s="276">
        <v>3.8608697374141467</v>
      </c>
      <c r="R117" s="276">
        <v>0.20804256273656643</v>
      </c>
      <c r="S117" s="276">
        <v>1.0050041586098579</v>
      </c>
      <c r="T117" s="276">
        <f t="shared" ref="T117:T118" si="182">SUM(Q117:S117)</f>
        <v>5.0739164587605714</v>
      </c>
      <c r="U117" s="276"/>
      <c r="V117" s="276">
        <v>3.9251999750401252</v>
      </c>
      <c r="W117" s="276">
        <v>0.2155416666630163</v>
      </c>
      <c r="X117" s="276">
        <v>1.0558591567047935</v>
      </c>
      <c r="Y117" s="276">
        <f t="shared" ref="Y117:Y118" si="183">SUM(V117:X117)</f>
        <v>5.1966007984079354</v>
      </c>
    </row>
    <row r="118" spans="1:25">
      <c r="A118" s="240" t="s">
        <v>143</v>
      </c>
      <c r="B118" s="277">
        <f>SUM(B116:B117)</f>
        <v>5.1362136774116856</v>
      </c>
      <c r="C118" s="277">
        <f t="shared" ref="C118" si="184">SUM(C116:C117)</f>
        <v>0.72338652333442843</v>
      </c>
      <c r="D118" s="277">
        <f t="shared" ref="D118" si="185">SUM(D116:D117)</f>
        <v>0.67839979925388749</v>
      </c>
      <c r="E118" s="277">
        <f t="shared" si="179"/>
        <v>6.538000000000002</v>
      </c>
      <c r="F118" s="277"/>
      <c r="G118" s="277">
        <f>SUM(G116:G117)</f>
        <v>5.3013164319257005</v>
      </c>
      <c r="H118" s="277">
        <f t="shared" ref="H118" si="186">SUM(H116:H117)</f>
        <v>0.57035680750384321</v>
      </c>
      <c r="I118" s="277">
        <f t="shared" ref="I118" si="187">SUM(I116:I117)</f>
        <v>0.5223267605704669</v>
      </c>
      <c r="J118" s="277">
        <f t="shared" si="180"/>
        <v>6.3940000000000108</v>
      </c>
      <c r="K118" s="277"/>
      <c r="L118" s="277">
        <f>SUM(L116:L117)</f>
        <v>5.2578135855323271</v>
      </c>
      <c r="M118" s="277">
        <f t="shared" ref="M118" si="188">SUM(M116:M117)</f>
        <v>0.51829021868255665</v>
      </c>
      <c r="N118" s="277">
        <f t="shared" ref="N118" si="189">SUM(N116:N117)</f>
        <v>1.0968961957851038</v>
      </c>
      <c r="O118" s="277">
        <f t="shared" si="181"/>
        <v>6.8729999999999878</v>
      </c>
      <c r="P118" s="277"/>
      <c r="Q118" s="277">
        <f>SUM(Q116:Q117)</f>
        <v>5.4548873222565462</v>
      </c>
      <c r="R118" s="277">
        <f t="shared" ref="R118" si="190">SUM(R116:R117)</f>
        <v>0.53379341754814724</v>
      </c>
      <c r="S118" s="277">
        <f t="shared" ref="S118" si="191">SUM(S116:S117)</f>
        <v>1.1613192601952789</v>
      </c>
      <c r="T118" s="277">
        <f t="shared" si="182"/>
        <v>7.1499999999999719</v>
      </c>
      <c r="U118" s="277"/>
      <c r="V118" s="277">
        <f>SUM(V116:V117)</f>
        <v>5.6338609031868279</v>
      </c>
      <c r="W118" s="277">
        <f t="shared" ref="W118" si="192">SUM(W116:W117)</f>
        <v>0.53894635727706042</v>
      </c>
      <c r="X118" s="277">
        <f t="shared" ref="X118" si="193">SUM(X116:X117)</f>
        <v>1.2171927395361026</v>
      </c>
      <c r="Y118" s="277">
        <f t="shared" si="183"/>
        <v>7.3899999999999908</v>
      </c>
    </row>
    <row r="119" spans="1:25">
      <c r="A119" s="238"/>
    </row>
    <row r="120" spans="1:25">
      <c r="A120" s="237"/>
    </row>
    <row r="121" spans="1:25">
      <c r="C121" s="239"/>
    </row>
    <row r="122" spans="1:25" ht="15">
      <c r="A122" s="241" t="str">
        <f>"Industry 14 : "&amp; name!B17</f>
        <v>Industry 14 : Finance and insurance</v>
      </c>
      <c r="B122" s="346">
        <f>$B$5</f>
        <v>2015</v>
      </c>
      <c r="C122" s="346"/>
      <c r="D122" s="346"/>
      <c r="E122" s="346"/>
      <c r="F122" s="291"/>
      <c r="G122" s="346">
        <f>$G$5</f>
        <v>2019</v>
      </c>
      <c r="H122" s="346"/>
      <c r="I122" s="346"/>
      <c r="J122" s="346"/>
      <c r="K122" s="291"/>
      <c r="L122" s="346">
        <f>$L$5</f>
        <v>2020</v>
      </c>
      <c r="M122" s="346"/>
      <c r="N122" s="346"/>
      <c r="O122" s="346"/>
      <c r="P122" s="289"/>
      <c r="Q122" s="346">
        <f>$Q$5</f>
        <v>2025</v>
      </c>
      <c r="R122" s="346"/>
      <c r="S122" s="346"/>
      <c r="T122" s="346"/>
      <c r="U122" s="291"/>
      <c r="V122" s="346">
        <f>$V$5</f>
        <v>2035</v>
      </c>
      <c r="W122" s="346"/>
      <c r="X122" s="346"/>
      <c r="Y122" s="346"/>
    </row>
    <row r="123" spans="1:25">
      <c r="A123" s="240"/>
      <c r="B123" s="244" t="str">
        <f>$B$6</f>
        <v>FT</v>
      </c>
      <c r="C123" s="244" t="str">
        <f>$C$6</f>
        <v>PT</v>
      </c>
      <c r="D123" s="244" t="str">
        <f>$D$6</f>
        <v>SE</v>
      </c>
      <c r="E123" s="244" t="str">
        <f>$E$6</f>
        <v>Total</v>
      </c>
      <c r="F123" s="244"/>
      <c r="G123" s="244" t="str">
        <f>$B$6</f>
        <v>FT</v>
      </c>
      <c r="H123" s="244" t="str">
        <f>$C$6</f>
        <v>PT</v>
      </c>
      <c r="I123" s="244" t="str">
        <f>$D$6</f>
        <v>SE</v>
      </c>
      <c r="J123" s="244" t="str">
        <f>$E$6</f>
        <v>Total</v>
      </c>
      <c r="K123" s="244"/>
      <c r="L123" s="244" t="str">
        <f>$L$6</f>
        <v>FT</v>
      </c>
      <c r="M123" s="244" t="str">
        <f>$M$6</f>
        <v>PT</v>
      </c>
      <c r="N123" s="244" t="str">
        <f>$N$6</f>
        <v>SE</v>
      </c>
      <c r="O123" s="244" t="str">
        <f>$O$6</f>
        <v>Total</v>
      </c>
      <c r="P123" s="244"/>
      <c r="Q123" s="244" t="str">
        <f>$L$6</f>
        <v>FT</v>
      </c>
      <c r="R123" s="244" t="str">
        <f>$M$6</f>
        <v>PT</v>
      </c>
      <c r="S123" s="244" t="str">
        <f>$N$6</f>
        <v>SE</v>
      </c>
      <c r="T123" s="244" t="str">
        <f>$O$6</f>
        <v>Total</v>
      </c>
      <c r="U123" s="244"/>
      <c r="V123" s="244" t="str">
        <f>$V$6</f>
        <v>FT</v>
      </c>
      <c r="W123" s="244" t="str">
        <f>$W$6</f>
        <v>PT</v>
      </c>
      <c r="X123" s="244" t="str">
        <f>$X$6</f>
        <v>SE</v>
      </c>
      <c r="Y123" s="244" t="str">
        <f>$Y$6</f>
        <v>Total</v>
      </c>
    </row>
    <row r="124" spans="1:25">
      <c r="C124" s="290"/>
      <c r="D124" s="290"/>
      <c r="E124" s="290"/>
      <c r="F124" s="290"/>
      <c r="G124" s="290"/>
      <c r="H124" s="290"/>
      <c r="I124" s="290"/>
      <c r="J124" s="290"/>
      <c r="K124" s="290"/>
      <c r="L124" s="290"/>
      <c r="M124" s="290"/>
      <c r="N124" s="290"/>
      <c r="O124" s="290"/>
      <c r="P124" s="290"/>
      <c r="Q124" s="290"/>
      <c r="R124" s="290"/>
      <c r="S124" s="290"/>
      <c r="T124" s="290"/>
      <c r="U124" s="290"/>
      <c r="V124" s="290"/>
      <c r="W124" s="290"/>
      <c r="X124" s="290"/>
      <c r="Y124" s="290"/>
    </row>
    <row r="125" spans="1:25">
      <c r="A125" s="236" t="s">
        <v>142</v>
      </c>
      <c r="B125" s="276">
        <v>3.3315549106231046</v>
      </c>
      <c r="C125" s="276">
        <v>1.2706948595045728</v>
      </c>
      <c r="D125" s="276">
        <v>0.51591239010255641</v>
      </c>
      <c r="E125" s="276">
        <f>SUM(B125:D125)</f>
        <v>5.1181621602302343</v>
      </c>
      <c r="F125" s="276"/>
      <c r="G125" s="276">
        <v>3.5896396059547113</v>
      </c>
      <c r="H125" s="276">
        <v>1.2997123739963894</v>
      </c>
      <c r="I125" s="276">
        <v>0.1139943141033528</v>
      </c>
      <c r="J125" s="276">
        <f>SUM(G125:I125)</f>
        <v>5.0033462940544542</v>
      </c>
      <c r="K125" s="276"/>
      <c r="L125" s="276">
        <v>3.4175384789241572</v>
      </c>
      <c r="M125" s="276">
        <v>1.5304397394025089</v>
      </c>
      <c r="N125" s="276">
        <v>0.14121448803024822</v>
      </c>
      <c r="O125" s="276">
        <f>SUM(L125:N125)</f>
        <v>5.089192706356914</v>
      </c>
      <c r="P125" s="276"/>
      <c r="Q125" s="276">
        <v>3.4007523195932556</v>
      </c>
      <c r="R125" s="276">
        <v>1.506756144174402</v>
      </c>
      <c r="S125" s="276">
        <v>0.14689946879748908</v>
      </c>
      <c r="T125" s="276">
        <f>SUM(Q125:S125)</f>
        <v>5.0544079325651463</v>
      </c>
      <c r="U125" s="276"/>
      <c r="V125" s="276">
        <v>3.2514925153660155</v>
      </c>
      <c r="W125" s="276">
        <v>1.4273978076252212</v>
      </c>
      <c r="X125" s="276">
        <v>0.1429471652490526</v>
      </c>
      <c r="Y125" s="276">
        <f>SUM(V125:X125)</f>
        <v>4.8218374882402895</v>
      </c>
    </row>
    <row r="126" spans="1:25">
      <c r="A126" s="236" t="s">
        <v>141</v>
      </c>
      <c r="B126" s="276">
        <v>4.1290609160132679</v>
      </c>
      <c r="C126" s="276">
        <v>0.15738704672211828</v>
      </c>
      <c r="D126" s="276">
        <v>0.81438987703441224</v>
      </c>
      <c r="E126" s="276">
        <f t="shared" ref="E126:E127" si="194">SUM(B126:D126)</f>
        <v>5.1008378397697989</v>
      </c>
      <c r="F126" s="276"/>
      <c r="G126" s="276">
        <v>4.3223336301208555</v>
      </c>
      <c r="H126" s="276">
        <v>0.11355133101610936</v>
      </c>
      <c r="I126" s="276">
        <v>0.84476874480860031</v>
      </c>
      <c r="J126" s="276">
        <f t="shared" ref="J126:J127" si="195">SUM(G126:I126)</f>
        <v>5.2806537059455643</v>
      </c>
      <c r="K126" s="276"/>
      <c r="L126" s="276">
        <v>4.2714794930292435</v>
      </c>
      <c r="M126" s="276">
        <v>0.33477445120701227</v>
      </c>
      <c r="N126" s="276">
        <v>0.74555334940682294</v>
      </c>
      <c r="O126" s="276">
        <f t="shared" ref="O126:O127" si="196">SUM(L126:N126)</f>
        <v>5.3518072936430787</v>
      </c>
      <c r="P126" s="276"/>
      <c r="Q126" s="276">
        <v>4.2686734754367208</v>
      </c>
      <c r="R126" s="276">
        <v>0.34829390182532688</v>
      </c>
      <c r="S126" s="276">
        <v>0.78262469017279801</v>
      </c>
      <c r="T126" s="276">
        <f t="shared" ref="T126:T127" si="197">SUM(Q126:S126)</f>
        <v>5.3995920674348463</v>
      </c>
      <c r="U126" s="276"/>
      <c r="V126" s="276">
        <v>4.0945104608205698</v>
      </c>
      <c r="W126" s="276">
        <v>0.35684945190028533</v>
      </c>
      <c r="X126" s="276">
        <v>0.78080259903885751</v>
      </c>
      <c r="Y126" s="276">
        <f t="shared" ref="Y126:Y127" si="198">SUM(V126:X126)</f>
        <v>5.2321625117597126</v>
      </c>
    </row>
    <row r="127" spans="1:25">
      <c r="A127" s="240" t="s">
        <v>143</v>
      </c>
      <c r="B127" s="277">
        <f>SUM(B125:B126)</f>
        <v>7.4606158266363725</v>
      </c>
      <c r="C127" s="277">
        <f t="shared" ref="C127" si="199">SUM(C125:C126)</f>
        <v>1.4280819062266912</v>
      </c>
      <c r="D127" s="277">
        <f t="shared" ref="D127" si="200">SUM(D125:D126)</f>
        <v>1.3303022671369686</v>
      </c>
      <c r="E127" s="277">
        <f t="shared" si="194"/>
        <v>10.219000000000031</v>
      </c>
      <c r="F127" s="277"/>
      <c r="G127" s="277">
        <f>SUM(G125:G126)</f>
        <v>7.9119732360755668</v>
      </c>
      <c r="H127" s="277">
        <f t="shared" ref="H127" si="201">SUM(H125:H126)</f>
        <v>1.4132637050124988</v>
      </c>
      <c r="I127" s="277">
        <f t="shared" ref="I127" si="202">SUM(I125:I126)</f>
        <v>0.95876305891195313</v>
      </c>
      <c r="J127" s="277">
        <f t="shared" si="195"/>
        <v>10.284000000000018</v>
      </c>
      <c r="K127" s="277"/>
      <c r="L127" s="277">
        <f>SUM(L125:L126)</f>
        <v>7.6890179719534011</v>
      </c>
      <c r="M127" s="277">
        <f t="shared" ref="M127" si="203">SUM(M125:M126)</f>
        <v>1.8652141906095212</v>
      </c>
      <c r="N127" s="277">
        <f t="shared" ref="N127" si="204">SUM(N125:N126)</f>
        <v>0.8867678374370711</v>
      </c>
      <c r="O127" s="277">
        <f t="shared" si="196"/>
        <v>10.440999999999994</v>
      </c>
      <c r="P127" s="277"/>
      <c r="Q127" s="277">
        <f>SUM(Q125:Q126)</f>
        <v>7.6694257950299765</v>
      </c>
      <c r="R127" s="277">
        <f t="shared" ref="R127" si="205">SUM(R125:R126)</f>
        <v>1.8550500459997288</v>
      </c>
      <c r="S127" s="277">
        <f t="shared" ref="S127" si="206">SUM(S125:S126)</f>
        <v>0.92952415897028706</v>
      </c>
      <c r="T127" s="277">
        <f t="shared" si="197"/>
        <v>10.453999999999992</v>
      </c>
      <c r="U127" s="277"/>
      <c r="V127" s="277">
        <f>SUM(V125:V126)</f>
        <v>7.3460029761865853</v>
      </c>
      <c r="W127" s="277">
        <f t="shared" ref="W127" si="207">SUM(W125:W126)</f>
        <v>1.7842472595255066</v>
      </c>
      <c r="X127" s="277">
        <f t="shared" ref="X127" si="208">SUM(X125:X126)</f>
        <v>0.92374976428791011</v>
      </c>
      <c r="Y127" s="277">
        <f t="shared" si="198"/>
        <v>10.054000000000002</v>
      </c>
    </row>
    <row r="131" spans="1:25" ht="15">
      <c r="A131" s="241" t="str">
        <f>"Industry 15 : "&amp; name!B18</f>
        <v>Industry 15 : Real estate</v>
      </c>
      <c r="B131" s="346">
        <f>$B$5</f>
        <v>2015</v>
      </c>
      <c r="C131" s="346"/>
      <c r="D131" s="346"/>
      <c r="E131" s="346"/>
      <c r="F131" s="291"/>
      <c r="G131" s="346">
        <f>$G$5</f>
        <v>2019</v>
      </c>
      <c r="H131" s="346"/>
      <c r="I131" s="346"/>
      <c r="J131" s="346"/>
      <c r="K131" s="291"/>
      <c r="L131" s="346">
        <f>$L$5</f>
        <v>2020</v>
      </c>
      <c r="M131" s="346"/>
      <c r="N131" s="346"/>
      <c r="O131" s="346"/>
      <c r="P131" s="289"/>
      <c r="Q131" s="346">
        <f>$Q$5</f>
        <v>2025</v>
      </c>
      <c r="R131" s="346"/>
      <c r="S131" s="346"/>
      <c r="T131" s="346"/>
      <c r="U131" s="291"/>
      <c r="V131" s="346">
        <f>$V$5</f>
        <v>2035</v>
      </c>
      <c r="W131" s="346"/>
      <c r="X131" s="346"/>
      <c r="Y131" s="346"/>
    </row>
    <row r="132" spans="1:25">
      <c r="A132" s="240"/>
      <c r="B132" s="244" t="str">
        <f>$B$6</f>
        <v>FT</v>
      </c>
      <c r="C132" s="244" t="str">
        <f>$C$6</f>
        <v>PT</v>
      </c>
      <c r="D132" s="244" t="str">
        <f>$D$6</f>
        <v>SE</v>
      </c>
      <c r="E132" s="244" t="str">
        <f>$E$6</f>
        <v>Total</v>
      </c>
      <c r="F132" s="244"/>
      <c r="G132" s="244" t="str">
        <f>$B$6</f>
        <v>FT</v>
      </c>
      <c r="H132" s="244" t="str">
        <f>$C$6</f>
        <v>PT</v>
      </c>
      <c r="I132" s="244" t="str">
        <f>$D$6</f>
        <v>SE</v>
      </c>
      <c r="J132" s="244" t="str">
        <f>$E$6</f>
        <v>Total</v>
      </c>
      <c r="K132" s="244"/>
      <c r="L132" s="244" t="str">
        <f>$L$6</f>
        <v>FT</v>
      </c>
      <c r="M132" s="244" t="str">
        <f>$M$6</f>
        <v>PT</v>
      </c>
      <c r="N132" s="244" t="str">
        <f>$N$6</f>
        <v>SE</v>
      </c>
      <c r="O132" s="244" t="str">
        <f>$O$6</f>
        <v>Total</v>
      </c>
      <c r="P132" s="244"/>
      <c r="Q132" s="244" t="str">
        <f>$L$6</f>
        <v>FT</v>
      </c>
      <c r="R132" s="244" t="str">
        <f>$M$6</f>
        <v>PT</v>
      </c>
      <c r="S132" s="244" t="str">
        <f>$N$6</f>
        <v>SE</v>
      </c>
      <c r="T132" s="244" t="str">
        <f>$O$6</f>
        <v>Total</v>
      </c>
      <c r="U132" s="244"/>
      <c r="V132" s="244" t="str">
        <f>$V$6</f>
        <v>FT</v>
      </c>
      <c r="W132" s="244" t="str">
        <f>$W$6</f>
        <v>PT</v>
      </c>
      <c r="X132" s="244" t="str">
        <f>$X$6</f>
        <v>SE</v>
      </c>
      <c r="Y132" s="244" t="str">
        <f>$Y$6</f>
        <v>Total</v>
      </c>
    </row>
    <row r="133" spans="1:25">
      <c r="C133" s="290"/>
      <c r="D133" s="290"/>
      <c r="E133" s="290"/>
      <c r="F133" s="290"/>
      <c r="G133" s="290"/>
      <c r="H133" s="290"/>
      <c r="I133" s="290"/>
      <c r="J133" s="290"/>
      <c r="K133" s="290"/>
      <c r="L133" s="290"/>
      <c r="M133" s="290"/>
      <c r="N133" s="290"/>
      <c r="O133" s="290"/>
      <c r="P133" s="290"/>
      <c r="Q133" s="290"/>
      <c r="R133" s="290"/>
      <c r="S133" s="290"/>
      <c r="T133" s="290"/>
      <c r="U133" s="290"/>
      <c r="V133" s="290"/>
      <c r="W133" s="290"/>
      <c r="X133" s="290"/>
      <c r="Y133" s="290"/>
    </row>
    <row r="134" spans="1:25">
      <c r="A134" s="236" t="s">
        <v>142</v>
      </c>
      <c r="B134" s="276">
        <v>2.6052823629935635</v>
      </c>
      <c r="C134" s="276">
        <v>1.6416895402965057</v>
      </c>
      <c r="D134" s="276">
        <v>0.33383223018922581</v>
      </c>
      <c r="E134" s="276">
        <f>SUM(B134:D134)</f>
        <v>4.5808041334792948</v>
      </c>
      <c r="F134" s="276"/>
      <c r="G134" s="276">
        <v>3.2802163142025265</v>
      </c>
      <c r="H134" s="276">
        <v>1.9585218692349298</v>
      </c>
      <c r="I134" s="276">
        <v>0.86249241959399958</v>
      </c>
      <c r="J134" s="276">
        <f>SUM(G134:I134)</f>
        <v>6.1012306030314551</v>
      </c>
      <c r="K134" s="276"/>
      <c r="L134" s="276">
        <v>2.8005649650685482</v>
      </c>
      <c r="M134" s="276">
        <v>2.074790990459181</v>
      </c>
      <c r="N134" s="276">
        <v>0.37265663419400791</v>
      </c>
      <c r="O134" s="276">
        <f>SUM(L134:N134)</f>
        <v>5.2480125897217365</v>
      </c>
      <c r="P134" s="276"/>
      <c r="Q134" s="276">
        <v>2.9048393309999789</v>
      </c>
      <c r="R134" s="276">
        <v>1.9875322234680732</v>
      </c>
      <c r="S134" s="276">
        <v>0.37837662285942497</v>
      </c>
      <c r="T134" s="276">
        <f>SUM(Q134:S134)</f>
        <v>5.2707481773274774</v>
      </c>
      <c r="U134" s="276"/>
      <c r="V134" s="276">
        <v>3.3504656695093318</v>
      </c>
      <c r="W134" s="276">
        <v>1.959772410931742</v>
      </c>
      <c r="X134" s="276">
        <v>0.41051521760585991</v>
      </c>
      <c r="Y134" s="276">
        <f>SUM(V134:X134)</f>
        <v>5.720753298046934</v>
      </c>
    </row>
    <row r="135" spans="1:25">
      <c r="A135" s="236" t="s">
        <v>141</v>
      </c>
      <c r="B135" s="276">
        <v>2.1304407897538749</v>
      </c>
      <c r="C135" s="276">
        <v>0.29627610428144036</v>
      </c>
      <c r="D135" s="276">
        <v>0.71547897248539449</v>
      </c>
      <c r="E135" s="276">
        <f t="shared" ref="E135:E136" si="209">SUM(B135:D135)</f>
        <v>3.1421958665207095</v>
      </c>
      <c r="F135" s="276"/>
      <c r="G135" s="276">
        <v>3.0709009294929737</v>
      </c>
      <c r="H135" s="276">
        <v>0.7474396044381233</v>
      </c>
      <c r="I135" s="276">
        <v>0.26542886303744889</v>
      </c>
      <c r="J135" s="276">
        <f t="shared" ref="J135:J136" si="210">SUM(G135:I135)</f>
        <v>4.0837693969685454</v>
      </c>
      <c r="K135" s="276"/>
      <c r="L135" s="276">
        <v>3.1939695092273661</v>
      </c>
      <c r="M135" s="276">
        <v>1.0629778695864152</v>
      </c>
      <c r="N135" s="276">
        <v>0.73504003146447949</v>
      </c>
      <c r="O135" s="276">
        <f t="shared" ref="O135:O136" si="211">SUM(L135:N135)</f>
        <v>4.9919874102782611</v>
      </c>
      <c r="P135" s="276"/>
      <c r="Q135" s="276">
        <v>3.1964083590106322</v>
      </c>
      <c r="R135" s="276">
        <v>1.066608132877843</v>
      </c>
      <c r="S135" s="276">
        <v>0.77423533078403439</v>
      </c>
      <c r="T135" s="276">
        <f t="shared" ref="T135:T136" si="212">SUM(Q135:S135)</f>
        <v>5.0372518226725091</v>
      </c>
      <c r="U135" s="276"/>
      <c r="V135" s="276">
        <v>3.441907447795673</v>
      </c>
      <c r="W135" s="276">
        <v>1.1694819777775876</v>
      </c>
      <c r="X135" s="276">
        <v>0.90585727637981306</v>
      </c>
      <c r="Y135" s="276">
        <f t="shared" ref="Y135:Y136" si="213">SUM(V135:X135)</f>
        <v>5.5172467019530744</v>
      </c>
    </row>
    <row r="136" spans="1:25">
      <c r="A136" s="240" t="s">
        <v>143</v>
      </c>
      <c r="B136" s="277">
        <f>SUM(B134:B135)</f>
        <v>4.7357231527474379</v>
      </c>
      <c r="C136" s="277">
        <f t="shared" ref="C136" si="214">SUM(C134:C135)</f>
        <v>1.9379656445779461</v>
      </c>
      <c r="D136" s="277">
        <f t="shared" ref="D136" si="215">SUM(D134:D135)</f>
        <v>1.0493112026746203</v>
      </c>
      <c r="E136" s="277">
        <f t="shared" si="209"/>
        <v>7.7230000000000043</v>
      </c>
      <c r="F136" s="277"/>
      <c r="G136" s="277">
        <f>SUM(G134:G135)</f>
        <v>6.3511172436954997</v>
      </c>
      <c r="H136" s="277">
        <f t="shared" ref="H136" si="216">SUM(H134:H135)</f>
        <v>2.7059614736730531</v>
      </c>
      <c r="I136" s="277">
        <f t="shared" ref="I136" si="217">SUM(I134:I135)</f>
        <v>1.1279212826314484</v>
      </c>
      <c r="J136" s="277">
        <f t="shared" si="210"/>
        <v>10.185</v>
      </c>
      <c r="K136" s="277"/>
      <c r="L136" s="277">
        <f>SUM(L134:L135)</f>
        <v>5.9945344742959144</v>
      </c>
      <c r="M136" s="277">
        <f t="shared" ref="M136" si="218">SUM(M134:M135)</f>
        <v>3.137768860045596</v>
      </c>
      <c r="N136" s="277">
        <f t="shared" ref="N136" si="219">SUM(N134:N135)</f>
        <v>1.1076966656584875</v>
      </c>
      <c r="O136" s="277">
        <f t="shared" si="211"/>
        <v>10.239999999999998</v>
      </c>
      <c r="P136" s="277"/>
      <c r="Q136" s="277">
        <f>SUM(Q134:Q135)</f>
        <v>6.1012476900106112</v>
      </c>
      <c r="R136" s="277">
        <f t="shared" ref="R136" si="220">SUM(R134:R135)</f>
        <v>3.0541403563459162</v>
      </c>
      <c r="S136" s="277">
        <f t="shared" ref="S136" si="221">SUM(S134:S135)</f>
        <v>1.1526119536434594</v>
      </c>
      <c r="T136" s="277">
        <f t="shared" si="212"/>
        <v>10.307999999999987</v>
      </c>
      <c r="U136" s="277"/>
      <c r="V136" s="277">
        <f>SUM(V134:V135)</f>
        <v>6.7923731173050044</v>
      </c>
      <c r="W136" s="277">
        <f t="shared" ref="W136" si="222">SUM(W134:W135)</f>
        <v>3.1292543887093296</v>
      </c>
      <c r="X136" s="277">
        <f t="shared" ref="X136" si="223">SUM(X134:X135)</f>
        <v>1.3163724939856729</v>
      </c>
      <c r="Y136" s="277">
        <f t="shared" si="213"/>
        <v>11.238000000000007</v>
      </c>
    </row>
    <row r="137" spans="1:25">
      <c r="C137" s="239"/>
    </row>
    <row r="138" spans="1:25">
      <c r="A138" s="237"/>
    </row>
    <row r="139" spans="1:25">
      <c r="C139" s="239"/>
    </row>
    <row r="140" spans="1:25" ht="15">
      <c r="A140" s="241" t="str">
        <f>"Industry 16 : "&amp; name!B19</f>
        <v>Industry 16 : Professional services</v>
      </c>
      <c r="B140" s="346">
        <f>$B$5</f>
        <v>2015</v>
      </c>
      <c r="C140" s="346"/>
      <c r="D140" s="346"/>
      <c r="E140" s="346"/>
      <c r="F140" s="291"/>
      <c r="G140" s="346">
        <f>$G$5</f>
        <v>2019</v>
      </c>
      <c r="H140" s="346"/>
      <c r="I140" s="346"/>
      <c r="J140" s="346"/>
      <c r="K140" s="291"/>
      <c r="L140" s="346">
        <f>$L$5</f>
        <v>2020</v>
      </c>
      <c r="M140" s="346"/>
      <c r="N140" s="346"/>
      <c r="O140" s="346"/>
      <c r="P140" s="289"/>
      <c r="Q140" s="346">
        <f>$Q$5</f>
        <v>2025</v>
      </c>
      <c r="R140" s="346"/>
      <c r="S140" s="346"/>
      <c r="T140" s="346"/>
      <c r="U140" s="291"/>
      <c r="V140" s="346">
        <f>$V$5</f>
        <v>2035</v>
      </c>
      <c r="W140" s="346"/>
      <c r="X140" s="346"/>
      <c r="Y140" s="346"/>
    </row>
    <row r="141" spans="1:25">
      <c r="A141" s="240"/>
      <c r="B141" s="244" t="str">
        <f>$B$6</f>
        <v>FT</v>
      </c>
      <c r="C141" s="244" t="str">
        <f>$C$6</f>
        <v>PT</v>
      </c>
      <c r="D141" s="244" t="str">
        <f>$D$6</f>
        <v>SE</v>
      </c>
      <c r="E141" s="244" t="str">
        <f>$E$6</f>
        <v>Total</v>
      </c>
      <c r="F141" s="244"/>
      <c r="G141" s="244" t="str">
        <f>$B$6</f>
        <v>FT</v>
      </c>
      <c r="H141" s="244" t="str">
        <f>$C$6</f>
        <v>PT</v>
      </c>
      <c r="I141" s="244" t="str">
        <f>$D$6</f>
        <v>SE</v>
      </c>
      <c r="J141" s="244" t="str">
        <f>$E$6</f>
        <v>Total</v>
      </c>
      <c r="K141" s="244"/>
      <c r="L141" s="244" t="str">
        <f>$L$6</f>
        <v>FT</v>
      </c>
      <c r="M141" s="244" t="str">
        <f>$M$6</f>
        <v>PT</v>
      </c>
      <c r="N141" s="244" t="str">
        <f>$N$6</f>
        <v>SE</v>
      </c>
      <c r="O141" s="244" t="str">
        <f>$O$6</f>
        <v>Total</v>
      </c>
      <c r="P141" s="244"/>
      <c r="Q141" s="244" t="str">
        <f>$L$6</f>
        <v>FT</v>
      </c>
      <c r="R141" s="244" t="str">
        <f>$M$6</f>
        <v>PT</v>
      </c>
      <c r="S141" s="244" t="str">
        <f>$N$6</f>
        <v>SE</v>
      </c>
      <c r="T141" s="244" t="str">
        <f>$O$6</f>
        <v>Total</v>
      </c>
      <c r="U141" s="244"/>
      <c r="V141" s="244" t="str">
        <f>$V$6</f>
        <v>FT</v>
      </c>
      <c r="W141" s="244" t="str">
        <f>$W$6</f>
        <v>PT</v>
      </c>
      <c r="X141" s="244" t="str">
        <f>$X$6</f>
        <v>SE</v>
      </c>
      <c r="Y141" s="244" t="str">
        <f>$Y$6</f>
        <v>Total</v>
      </c>
    </row>
    <row r="142" spans="1:25">
      <c r="C142" s="290"/>
      <c r="D142" s="290"/>
      <c r="E142" s="290"/>
      <c r="F142" s="290"/>
      <c r="G142" s="290"/>
      <c r="H142" s="290"/>
      <c r="I142" s="290"/>
      <c r="J142" s="290"/>
      <c r="K142" s="290"/>
      <c r="L142" s="290"/>
      <c r="M142" s="290"/>
      <c r="N142" s="290"/>
      <c r="O142" s="290"/>
      <c r="P142" s="290"/>
      <c r="Q142" s="290"/>
      <c r="R142" s="290"/>
      <c r="S142" s="290"/>
      <c r="T142" s="290"/>
      <c r="U142" s="290"/>
      <c r="V142" s="290"/>
      <c r="W142" s="290"/>
      <c r="X142" s="290"/>
      <c r="Y142" s="290"/>
    </row>
    <row r="143" spans="1:25">
      <c r="A143" s="236" t="s">
        <v>142</v>
      </c>
      <c r="B143" s="276">
        <v>6.2890337458827261</v>
      </c>
      <c r="C143" s="276">
        <v>4.1285515243502413</v>
      </c>
      <c r="D143" s="276">
        <v>2.409429554500083</v>
      </c>
      <c r="E143" s="276">
        <f>SUM(B143:D143)</f>
        <v>12.82701482473305</v>
      </c>
      <c r="F143" s="276"/>
      <c r="G143" s="276">
        <v>5.640705636102104</v>
      </c>
      <c r="H143" s="276">
        <v>3.4919756766848744</v>
      </c>
      <c r="I143" s="276">
        <v>2.0633875375836599</v>
      </c>
      <c r="J143" s="276">
        <f>SUM(G143:I143)</f>
        <v>11.196068850370638</v>
      </c>
      <c r="K143" s="276"/>
      <c r="L143" s="276">
        <v>4.9721707152368158</v>
      </c>
      <c r="M143" s="276">
        <v>3.5674229943904225</v>
      </c>
      <c r="N143" s="276">
        <v>1.1207554018324237</v>
      </c>
      <c r="O143" s="276">
        <f>SUM(L143:N143)</f>
        <v>9.6603491114596629</v>
      </c>
      <c r="P143" s="276"/>
      <c r="Q143" s="276">
        <v>5.1718270385174003</v>
      </c>
      <c r="R143" s="276">
        <v>3.7361354941943281</v>
      </c>
      <c r="S143" s="276">
        <v>1.1863012775461601</v>
      </c>
      <c r="T143" s="276">
        <f>SUM(Q143:S143)</f>
        <v>10.094263810257889</v>
      </c>
      <c r="U143" s="276"/>
      <c r="V143" s="276">
        <v>5.4801240972792096</v>
      </c>
      <c r="W143" s="276">
        <v>3.982586369479916</v>
      </c>
      <c r="X143" s="276">
        <v>1.303427320534597</v>
      </c>
      <c r="Y143" s="276">
        <f>SUM(V143:X143)</f>
        <v>10.766137787293722</v>
      </c>
    </row>
    <row r="144" spans="1:25">
      <c r="A144" s="236" t="s">
        <v>141</v>
      </c>
      <c r="B144" s="276">
        <v>11.136859745108351</v>
      </c>
      <c r="C144" s="276">
        <v>1.664126859212532</v>
      </c>
      <c r="D144" s="276">
        <v>2.9639985709460457</v>
      </c>
      <c r="E144" s="276">
        <f t="shared" ref="E144:E145" si="224">SUM(B144:D144)</f>
        <v>15.764985175266929</v>
      </c>
      <c r="F144" s="276"/>
      <c r="G144" s="276">
        <v>9.0544025108925847</v>
      </c>
      <c r="H144" s="276">
        <v>1.0227194978269676</v>
      </c>
      <c r="I144" s="276">
        <v>3.5208091409097908</v>
      </c>
      <c r="J144" s="276">
        <f t="shared" ref="J144:J145" si="225">SUM(G144:I144)</f>
        <v>13.597931149629343</v>
      </c>
      <c r="K144" s="276"/>
      <c r="L144" s="276">
        <v>9.372899094009842</v>
      </c>
      <c r="M144" s="276">
        <v>1.4432434329240442</v>
      </c>
      <c r="N144" s="276">
        <v>4.2525083616064165</v>
      </c>
      <c r="O144" s="276">
        <f t="shared" ref="O144:O145" si="226">SUM(L144:N144)</f>
        <v>15.068650888540303</v>
      </c>
      <c r="P144" s="276"/>
      <c r="Q144" s="276">
        <v>9.5411629236459063</v>
      </c>
      <c r="R144" s="276">
        <v>1.5299465641803165</v>
      </c>
      <c r="S144" s="276">
        <v>4.3906267019158873</v>
      </c>
      <c r="T144" s="276">
        <f t="shared" ref="T144:T145" si="227">SUM(Q144:S144)</f>
        <v>15.461736189742112</v>
      </c>
      <c r="U144" s="276"/>
      <c r="V144" s="276">
        <v>9.8154093056058027</v>
      </c>
      <c r="W144" s="276">
        <v>1.6792727369129037</v>
      </c>
      <c r="X144" s="276">
        <v>4.6321801701876204</v>
      </c>
      <c r="Y144" s="276">
        <f t="shared" ref="Y144:Y145" si="228">SUM(V144:X144)</f>
        <v>16.126862212706328</v>
      </c>
    </row>
    <row r="145" spans="1:25">
      <c r="A145" s="240" t="s">
        <v>143</v>
      </c>
      <c r="B145" s="277">
        <f>SUM(B143:B144)</f>
        <v>17.425893490991079</v>
      </c>
      <c r="C145" s="277">
        <f t="shared" ref="C145" si="229">SUM(C143:C144)</f>
        <v>5.7926783835627731</v>
      </c>
      <c r="D145" s="277">
        <f t="shared" ref="D145" si="230">SUM(D143:D144)</f>
        <v>5.3734281254461287</v>
      </c>
      <c r="E145" s="277">
        <f t="shared" si="224"/>
        <v>28.591999999999981</v>
      </c>
      <c r="F145" s="277"/>
      <c r="G145" s="277">
        <f>SUM(G143:G144)</f>
        <v>14.695108146994688</v>
      </c>
      <c r="H145" s="277">
        <f t="shared" ref="H145" si="231">SUM(H143:H144)</f>
        <v>4.514695174511842</v>
      </c>
      <c r="I145" s="277">
        <f t="shared" ref="I145" si="232">SUM(I143:I144)</f>
        <v>5.5841966784934502</v>
      </c>
      <c r="J145" s="277">
        <f t="shared" si="225"/>
        <v>24.793999999999983</v>
      </c>
      <c r="K145" s="277"/>
      <c r="L145" s="277">
        <f>SUM(L143:L144)</f>
        <v>14.345069809246658</v>
      </c>
      <c r="M145" s="277">
        <f t="shared" ref="M145" si="233">SUM(M143:M144)</f>
        <v>5.010666427314467</v>
      </c>
      <c r="N145" s="277">
        <f t="shared" ref="N145" si="234">SUM(N143:N144)</f>
        <v>5.3732637634388407</v>
      </c>
      <c r="O145" s="277">
        <f t="shared" si="226"/>
        <v>24.728999999999964</v>
      </c>
      <c r="P145" s="277"/>
      <c r="Q145" s="277">
        <f>SUM(Q143:Q144)</f>
        <v>14.712989962163306</v>
      </c>
      <c r="R145" s="277">
        <f t="shared" ref="R145" si="235">SUM(R143:R144)</f>
        <v>5.2660820583746446</v>
      </c>
      <c r="S145" s="277">
        <f t="shared" ref="S145" si="236">SUM(S143:S144)</f>
        <v>5.576927979462047</v>
      </c>
      <c r="T145" s="277">
        <f t="shared" si="227"/>
        <v>25.555999999999997</v>
      </c>
      <c r="U145" s="277"/>
      <c r="V145" s="277">
        <f>SUM(V143:V144)</f>
        <v>15.295533402885013</v>
      </c>
      <c r="W145" s="277">
        <f t="shared" ref="W145" si="237">SUM(W143:W144)</f>
        <v>5.6618591063928196</v>
      </c>
      <c r="X145" s="277">
        <f t="shared" ref="X145" si="238">SUM(X143:X144)</f>
        <v>5.9356074907222176</v>
      </c>
      <c r="Y145" s="277">
        <f t="shared" si="228"/>
        <v>26.89300000000005</v>
      </c>
    </row>
    <row r="146" spans="1:25">
      <c r="C146" s="239"/>
    </row>
    <row r="147" spans="1:25">
      <c r="A147" s="237"/>
    </row>
    <row r="148" spans="1:25">
      <c r="C148" s="239"/>
    </row>
    <row r="149" spans="1:25" ht="15">
      <c r="A149" s="241" t="str">
        <f>"Industry 17 : "&amp; name!B20</f>
        <v>Industry 17 : Support services</v>
      </c>
      <c r="B149" s="346">
        <f>$B$5</f>
        <v>2015</v>
      </c>
      <c r="C149" s="346"/>
      <c r="D149" s="346"/>
      <c r="E149" s="346"/>
      <c r="F149" s="291"/>
      <c r="G149" s="346">
        <f>$G$5</f>
        <v>2019</v>
      </c>
      <c r="H149" s="346"/>
      <c r="I149" s="346"/>
      <c r="J149" s="346"/>
      <c r="K149" s="291"/>
      <c r="L149" s="346">
        <f>$L$5</f>
        <v>2020</v>
      </c>
      <c r="M149" s="346"/>
      <c r="N149" s="346"/>
      <c r="O149" s="346"/>
      <c r="P149" s="289"/>
      <c r="Q149" s="346">
        <f>$Q$5</f>
        <v>2025</v>
      </c>
      <c r="R149" s="346"/>
      <c r="S149" s="346"/>
      <c r="T149" s="346"/>
      <c r="U149" s="291"/>
      <c r="V149" s="346">
        <f>$V$5</f>
        <v>2035</v>
      </c>
      <c r="W149" s="346"/>
      <c r="X149" s="346"/>
      <c r="Y149" s="346"/>
    </row>
    <row r="150" spans="1:25">
      <c r="A150" s="240"/>
      <c r="B150" s="244" t="str">
        <f>$B$6</f>
        <v>FT</v>
      </c>
      <c r="C150" s="244" t="str">
        <f>$C$6</f>
        <v>PT</v>
      </c>
      <c r="D150" s="244" t="str">
        <f>$D$6</f>
        <v>SE</v>
      </c>
      <c r="E150" s="244" t="str">
        <f>$E$6</f>
        <v>Total</v>
      </c>
      <c r="F150" s="244"/>
      <c r="G150" s="244" t="str">
        <f>$B$6</f>
        <v>FT</v>
      </c>
      <c r="H150" s="244" t="str">
        <f>$C$6</f>
        <v>PT</v>
      </c>
      <c r="I150" s="244" t="str">
        <f>$D$6</f>
        <v>SE</v>
      </c>
      <c r="J150" s="244" t="str">
        <f>$E$6</f>
        <v>Total</v>
      </c>
      <c r="K150" s="244"/>
      <c r="L150" s="244" t="str">
        <f>$L$6</f>
        <v>FT</v>
      </c>
      <c r="M150" s="244" t="str">
        <f>$M$6</f>
        <v>PT</v>
      </c>
      <c r="N150" s="244" t="str">
        <f>$N$6</f>
        <v>SE</v>
      </c>
      <c r="O150" s="244" t="str">
        <f>$O$6</f>
        <v>Total</v>
      </c>
      <c r="P150" s="244"/>
      <c r="Q150" s="244" t="str">
        <f>$L$6</f>
        <v>FT</v>
      </c>
      <c r="R150" s="244" t="str">
        <f>$M$6</f>
        <v>PT</v>
      </c>
      <c r="S150" s="244" t="str">
        <f>$N$6</f>
        <v>SE</v>
      </c>
      <c r="T150" s="244" t="str">
        <f>$O$6</f>
        <v>Total</v>
      </c>
      <c r="U150" s="244"/>
      <c r="V150" s="244" t="str">
        <f>$V$6</f>
        <v>FT</v>
      </c>
      <c r="W150" s="244" t="str">
        <f>$W$6</f>
        <v>PT</v>
      </c>
      <c r="X150" s="244" t="str">
        <f>$X$6</f>
        <v>SE</v>
      </c>
      <c r="Y150" s="244" t="str">
        <f>$Y$6</f>
        <v>Total</v>
      </c>
    </row>
    <row r="151" spans="1:25">
      <c r="A151" s="238"/>
      <c r="C151" s="290"/>
      <c r="D151" s="290"/>
      <c r="E151" s="290"/>
      <c r="F151" s="290"/>
      <c r="G151" s="290"/>
      <c r="H151" s="290"/>
      <c r="I151" s="290"/>
      <c r="J151" s="290"/>
      <c r="K151" s="290"/>
      <c r="L151" s="290"/>
      <c r="M151" s="290"/>
      <c r="N151" s="290"/>
      <c r="O151" s="290"/>
      <c r="P151" s="290"/>
      <c r="Q151" s="290"/>
      <c r="R151" s="290"/>
      <c r="S151" s="290"/>
      <c r="T151" s="290"/>
      <c r="U151" s="290"/>
      <c r="V151" s="290"/>
      <c r="W151" s="290"/>
      <c r="X151" s="290"/>
      <c r="Y151" s="290"/>
    </row>
    <row r="152" spans="1:25">
      <c r="A152" s="236" t="s">
        <v>142</v>
      </c>
      <c r="B152" s="276">
        <v>6.9352684578446411</v>
      </c>
      <c r="C152" s="276">
        <v>7.7519346857189104</v>
      </c>
      <c r="D152" s="276">
        <v>1.4599507441762478</v>
      </c>
      <c r="E152" s="276">
        <f>SUM(B152:D152)</f>
        <v>16.147153887739798</v>
      </c>
      <c r="F152" s="276"/>
      <c r="G152" s="276">
        <v>7.0444766632208324</v>
      </c>
      <c r="H152" s="276">
        <v>6.0629087930430732</v>
      </c>
      <c r="I152" s="276">
        <v>1.7952394035554504</v>
      </c>
      <c r="J152" s="276">
        <f>SUM(G152:I152)</f>
        <v>14.902624859819356</v>
      </c>
      <c r="K152" s="276"/>
      <c r="L152" s="276">
        <v>6.4415799888387504</v>
      </c>
      <c r="M152" s="276">
        <v>6.0683825109222838</v>
      </c>
      <c r="N152" s="276">
        <v>1.4309449981918625</v>
      </c>
      <c r="O152" s="276">
        <f>SUM(L152:N152)</f>
        <v>13.940907497952896</v>
      </c>
      <c r="P152" s="276"/>
      <c r="Q152" s="276">
        <v>6.9122255603816134</v>
      </c>
      <c r="R152" s="276">
        <v>6.2763559647332672</v>
      </c>
      <c r="S152" s="276">
        <v>1.4831704279805185</v>
      </c>
      <c r="T152" s="276">
        <f>SUM(Q152:S152)</f>
        <v>14.671751953095399</v>
      </c>
      <c r="U152" s="276"/>
      <c r="V152" s="276">
        <v>7.4669569878852595</v>
      </c>
      <c r="W152" s="276">
        <v>6.4054109067746312</v>
      </c>
      <c r="X152" s="276">
        <v>1.5813358175805035</v>
      </c>
      <c r="Y152" s="276">
        <f>SUM(V152:X152)</f>
        <v>15.453703712240396</v>
      </c>
    </row>
    <row r="153" spans="1:25">
      <c r="A153" s="236" t="s">
        <v>141</v>
      </c>
      <c r="B153" s="276">
        <v>15.121479569344229</v>
      </c>
      <c r="C153" s="276">
        <v>6.3144559652943855</v>
      </c>
      <c r="D153" s="276">
        <v>2.657910577621593</v>
      </c>
      <c r="E153" s="276">
        <f t="shared" ref="E153:E154" si="239">SUM(B153:D153)</f>
        <v>24.093846112260209</v>
      </c>
      <c r="F153" s="276"/>
      <c r="G153" s="276">
        <v>13.010271503667116</v>
      </c>
      <c r="H153" s="276">
        <v>4.5691788827158737</v>
      </c>
      <c r="I153" s="276">
        <v>1.8119247537976377</v>
      </c>
      <c r="J153" s="276">
        <f t="shared" ref="J153:J154" si="240">SUM(G153:I153)</f>
        <v>19.391375140180628</v>
      </c>
      <c r="K153" s="276"/>
      <c r="L153" s="276">
        <v>12.581782399296857</v>
      </c>
      <c r="M153" s="276">
        <v>4.4323517995482824</v>
      </c>
      <c r="N153" s="276">
        <v>1.2129583032019806</v>
      </c>
      <c r="O153" s="276">
        <f t="shared" ref="O153:O154" si="241">SUM(L153:N153)</f>
        <v>18.227092502047121</v>
      </c>
      <c r="P153" s="276"/>
      <c r="Q153" s="276">
        <v>13.262122824817832</v>
      </c>
      <c r="R153" s="276">
        <v>4.6625184058812277</v>
      </c>
      <c r="S153" s="276">
        <v>1.2586068162055843</v>
      </c>
      <c r="T153" s="276">
        <f t="shared" ref="T153:T154" si="242">SUM(Q153:S153)</f>
        <v>19.183248046904644</v>
      </c>
      <c r="U153" s="276"/>
      <c r="V153" s="276">
        <v>14.013786057424932</v>
      </c>
      <c r="W153" s="276">
        <v>4.8816561977555368</v>
      </c>
      <c r="X153" s="276">
        <v>1.3338540325791264</v>
      </c>
      <c r="Y153" s="276">
        <f t="shared" ref="Y153:Y154" si="243">SUM(V153:X153)</f>
        <v>20.229296287759595</v>
      </c>
    </row>
    <row r="154" spans="1:25">
      <c r="A154" s="240" t="s">
        <v>143</v>
      </c>
      <c r="B154" s="277">
        <f>SUM(B152:B153)</f>
        <v>22.056748027188871</v>
      </c>
      <c r="C154" s="277">
        <f t="shared" ref="C154" si="244">SUM(C152:C153)</f>
        <v>14.066390651013297</v>
      </c>
      <c r="D154" s="277">
        <f t="shared" ref="D154" si="245">SUM(D152:D153)</f>
        <v>4.1178613217978413</v>
      </c>
      <c r="E154" s="277">
        <f t="shared" si="239"/>
        <v>40.241000000000007</v>
      </c>
      <c r="F154" s="277"/>
      <c r="G154" s="277">
        <f>SUM(G152:G153)</f>
        <v>20.054748166887947</v>
      </c>
      <c r="H154" s="277">
        <f t="shared" ref="H154" si="246">SUM(H152:H153)</f>
        <v>10.632087675758946</v>
      </c>
      <c r="I154" s="277">
        <f t="shared" ref="I154" si="247">SUM(I152:I153)</f>
        <v>3.6071641573530879</v>
      </c>
      <c r="J154" s="277">
        <f t="shared" si="240"/>
        <v>34.293999999999983</v>
      </c>
      <c r="K154" s="277"/>
      <c r="L154" s="277">
        <f>SUM(L152:L153)</f>
        <v>19.02336238813561</v>
      </c>
      <c r="M154" s="277">
        <f t="shared" ref="M154" si="248">SUM(M152:M153)</f>
        <v>10.500734310470566</v>
      </c>
      <c r="N154" s="277">
        <f t="shared" ref="N154" si="249">SUM(N152:N153)</f>
        <v>2.6439033013938431</v>
      </c>
      <c r="O154" s="277">
        <f t="shared" si="241"/>
        <v>32.168000000000021</v>
      </c>
      <c r="P154" s="277"/>
      <c r="Q154" s="277">
        <f>SUM(Q152:Q153)</f>
        <v>20.174348385199444</v>
      </c>
      <c r="R154" s="277">
        <f t="shared" ref="R154" si="250">SUM(R152:R153)</f>
        <v>10.938874370614496</v>
      </c>
      <c r="S154" s="277">
        <f t="shared" ref="S154" si="251">SUM(S152:S153)</f>
        <v>2.7417772441861028</v>
      </c>
      <c r="T154" s="277">
        <f t="shared" si="242"/>
        <v>33.85500000000004</v>
      </c>
      <c r="U154" s="277"/>
      <c r="V154" s="277">
        <f>SUM(V152:V153)</f>
        <v>21.480743045310192</v>
      </c>
      <c r="W154" s="277">
        <f t="shared" ref="W154" si="252">SUM(W152:W153)</f>
        <v>11.287067104530168</v>
      </c>
      <c r="X154" s="277">
        <f t="shared" ref="X154" si="253">SUM(X152:X153)</f>
        <v>2.9151898501596296</v>
      </c>
      <c r="Y154" s="277">
        <f t="shared" si="243"/>
        <v>35.682999999999986</v>
      </c>
    </row>
    <row r="155" spans="1:25">
      <c r="C155" s="239"/>
    </row>
    <row r="156" spans="1:25">
      <c r="A156" s="237"/>
    </row>
    <row r="157" spans="1:25">
      <c r="C157" s="239"/>
    </row>
    <row r="158" spans="1:25" ht="15">
      <c r="A158" s="241" t="str">
        <f>"Industry 18 : "&amp; name!B21</f>
        <v>Industry 18 : Public admin. and defence</v>
      </c>
      <c r="B158" s="346">
        <f>$B$5</f>
        <v>2015</v>
      </c>
      <c r="C158" s="346"/>
      <c r="D158" s="346"/>
      <c r="E158" s="346"/>
      <c r="F158" s="291"/>
      <c r="G158" s="346">
        <f>$G$5</f>
        <v>2019</v>
      </c>
      <c r="H158" s="346"/>
      <c r="I158" s="346"/>
      <c r="J158" s="346"/>
      <c r="K158" s="291"/>
      <c r="L158" s="346">
        <f>$L$5</f>
        <v>2020</v>
      </c>
      <c r="M158" s="346"/>
      <c r="N158" s="346"/>
      <c r="O158" s="346"/>
      <c r="P158" s="289"/>
      <c r="Q158" s="346">
        <f>$Q$5</f>
        <v>2025</v>
      </c>
      <c r="R158" s="346"/>
      <c r="S158" s="346"/>
      <c r="T158" s="346"/>
      <c r="U158" s="291"/>
      <c r="V158" s="346">
        <f>$V$5</f>
        <v>2035</v>
      </c>
      <c r="W158" s="346"/>
      <c r="X158" s="346"/>
      <c r="Y158" s="346"/>
    </row>
    <row r="159" spans="1:25">
      <c r="A159" s="240"/>
      <c r="B159" s="244" t="str">
        <f>$B$6</f>
        <v>FT</v>
      </c>
      <c r="C159" s="244" t="str">
        <f>$C$6</f>
        <v>PT</v>
      </c>
      <c r="D159" s="244" t="str">
        <f>$D$6</f>
        <v>SE</v>
      </c>
      <c r="E159" s="244" t="str">
        <f>$E$6</f>
        <v>Total</v>
      </c>
      <c r="F159" s="244"/>
      <c r="G159" s="244" t="str">
        <f>$B$6</f>
        <v>FT</v>
      </c>
      <c r="H159" s="244" t="str">
        <f>$C$6</f>
        <v>PT</v>
      </c>
      <c r="I159" s="244" t="str">
        <f>$D$6</f>
        <v>SE</v>
      </c>
      <c r="J159" s="244" t="str">
        <f>$E$6</f>
        <v>Total</v>
      </c>
      <c r="K159" s="244"/>
      <c r="L159" s="244" t="str">
        <f>$L$6</f>
        <v>FT</v>
      </c>
      <c r="M159" s="244" t="str">
        <f>$M$6</f>
        <v>PT</v>
      </c>
      <c r="N159" s="244" t="str">
        <f>$N$6</f>
        <v>SE</v>
      </c>
      <c r="O159" s="244" t="str">
        <f>$O$6</f>
        <v>Total</v>
      </c>
      <c r="P159" s="244"/>
      <c r="Q159" s="244" t="str">
        <f>$L$6</f>
        <v>FT</v>
      </c>
      <c r="R159" s="244" t="str">
        <f>$M$6</f>
        <v>PT</v>
      </c>
      <c r="S159" s="244" t="str">
        <f>$N$6</f>
        <v>SE</v>
      </c>
      <c r="T159" s="244" t="str">
        <f>$O$6</f>
        <v>Total</v>
      </c>
      <c r="U159" s="244"/>
      <c r="V159" s="244" t="str">
        <f>$V$6</f>
        <v>FT</v>
      </c>
      <c r="W159" s="244" t="str">
        <f>$W$6</f>
        <v>PT</v>
      </c>
      <c r="X159" s="244" t="str">
        <f>$X$6</f>
        <v>SE</v>
      </c>
      <c r="Y159" s="244" t="str">
        <f>$Y$6</f>
        <v>Total</v>
      </c>
    </row>
    <row r="160" spans="1:25">
      <c r="A160" s="238"/>
      <c r="C160" s="290"/>
      <c r="D160" s="290"/>
      <c r="E160" s="290"/>
      <c r="F160" s="290"/>
      <c r="G160" s="290"/>
      <c r="H160" s="290"/>
      <c r="I160" s="290"/>
      <c r="J160" s="290"/>
      <c r="K160" s="290"/>
      <c r="L160" s="290"/>
      <c r="M160" s="290"/>
      <c r="N160" s="290"/>
      <c r="O160" s="290"/>
      <c r="P160" s="290"/>
      <c r="Q160" s="290"/>
      <c r="R160" s="290"/>
      <c r="S160" s="290"/>
      <c r="T160" s="290"/>
      <c r="U160" s="290"/>
      <c r="V160" s="290"/>
      <c r="W160" s="290"/>
      <c r="X160" s="290"/>
      <c r="Y160" s="290"/>
    </row>
    <row r="161" spans="1:25">
      <c r="A161" s="236" t="s">
        <v>142</v>
      </c>
      <c r="B161" s="276">
        <v>4.4265813443400654</v>
      </c>
      <c r="C161" s="276">
        <v>4.4732739001469488</v>
      </c>
      <c r="D161" s="276">
        <v>0.46787846728438287</v>
      </c>
      <c r="E161" s="276">
        <f>SUM(B161:D161)</f>
        <v>9.3677337117713968</v>
      </c>
      <c r="F161" s="276"/>
      <c r="G161" s="276">
        <v>4.5152475228659839</v>
      </c>
      <c r="H161" s="276">
        <v>4.0412053651285875</v>
      </c>
      <c r="I161" s="276">
        <v>0.7433806295620915</v>
      </c>
      <c r="J161" s="276">
        <f>SUM(G161:I161)</f>
        <v>9.299833517556662</v>
      </c>
      <c r="K161" s="276"/>
      <c r="L161" s="276">
        <v>4.732441209408921</v>
      </c>
      <c r="M161" s="276">
        <v>4.1334143778165151</v>
      </c>
      <c r="N161" s="276">
        <v>0.27721953695810336</v>
      </c>
      <c r="O161" s="276">
        <f>SUM(L161:N161)</f>
        <v>9.1430751241835395</v>
      </c>
      <c r="P161" s="276"/>
      <c r="Q161" s="276">
        <v>4.8356524541812131</v>
      </c>
      <c r="R161" s="276">
        <v>4.2321079553547767</v>
      </c>
      <c r="S161" s="276">
        <v>0.28361039782732705</v>
      </c>
      <c r="T161" s="276">
        <f>SUM(Q161:S161)</f>
        <v>9.3513708073633168</v>
      </c>
      <c r="U161" s="276"/>
      <c r="V161" s="276">
        <v>5.0870278704893073</v>
      </c>
      <c r="W161" s="276">
        <v>4.4540460561225643</v>
      </c>
      <c r="X161" s="276">
        <v>0.30093618853016718</v>
      </c>
      <c r="Y161" s="276">
        <f>SUM(V161:X161)</f>
        <v>9.84201011514204</v>
      </c>
    </row>
    <row r="162" spans="1:25">
      <c r="A162" s="236" t="s">
        <v>141</v>
      </c>
      <c r="B162" s="276">
        <v>5.1241109534276612</v>
      </c>
      <c r="C162" s="276">
        <v>0.81680209005092297</v>
      </c>
      <c r="D162" s="276">
        <v>0.69435324475000071</v>
      </c>
      <c r="E162" s="276">
        <f t="shared" ref="E162:E163" si="254">SUM(B162:D162)</f>
        <v>6.6352662882285856</v>
      </c>
      <c r="F162" s="276"/>
      <c r="G162" s="276">
        <v>5.1773914141178574</v>
      </c>
      <c r="H162" s="276">
        <v>0.74660430964909574</v>
      </c>
      <c r="I162" s="276">
        <v>0.23017075867638212</v>
      </c>
      <c r="J162" s="276">
        <f t="shared" ref="J162:J163" si="255">SUM(G162:I162)</f>
        <v>6.154166482443336</v>
      </c>
      <c r="K162" s="276"/>
      <c r="L162" s="276">
        <v>5.37831749659306</v>
      </c>
      <c r="M162" s="276">
        <v>0.75960737922340005</v>
      </c>
      <c r="N162" s="276">
        <v>0</v>
      </c>
      <c r="O162" s="276">
        <f t="shared" ref="O162:O163" si="256">SUM(L162:N162)</f>
        <v>6.1379248758164602</v>
      </c>
      <c r="P162" s="276"/>
      <c r="Q162" s="276">
        <v>5.3846320888486234</v>
      </c>
      <c r="R162" s="276">
        <v>0.8179971037880529</v>
      </c>
      <c r="S162" s="276">
        <v>0</v>
      </c>
      <c r="T162" s="276">
        <f t="shared" ref="T162:T163" si="257">SUM(Q162:S162)</f>
        <v>6.2026291926366763</v>
      </c>
      <c r="U162" s="276"/>
      <c r="V162" s="276">
        <v>5.4336758850706692</v>
      </c>
      <c r="W162" s="276">
        <v>0.94931399978726139</v>
      </c>
      <c r="X162" s="276">
        <v>0</v>
      </c>
      <c r="Y162" s="276">
        <f t="shared" ref="Y162:Y163" si="258">SUM(V162:X162)</f>
        <v>6.3829898848579303</v>
      </c>
    </row>
    <row r="163" spans="1:25">
      <c r="A163" s="240" t="s">
        <v>143</v>
      </c>
      <c r="B163" s="277">
        <f>SUM(B161:B162)</f>
        <v>9.5506922977677267</v>
      </c>
      <c r="C163" s="277">
        <f t="shared" ref="C163" si="259">SUM(C161:C162)</f>
        <v>5.290075990197872</v>
      </c>
      <c r="D163" s="277">
        <f t="shared" ref="D163" si="260">SUM(D161:D162)</f>
        <v>1.1622317120343837</v>
      </c>
      <c r="E163" s="277">
        <f t="shared" si="254"/>
        <v>16.002999999999982</v>
      </c>
      <c r="F163" s="277"/>
      <c r="G163" s="277">
        <f>SUM(G161:G162)</f>
        <v>9.6926389369838404</v>
      </c>
      <c r="H163" s="277">
        <f t="shared" ref="H163" si="261">SUM(H161:H162)</f>
        <v>4.7878096747776837</v>
      </c>
      <c r="I163" s="277">
        <f t="shared" ref="I163" si="262">SUM(I161:I162)</f>
        <v>0.97355138823847365</v>
      </c>
      <c r="J163" s="277">
        <f t="shared" si="255"/>
        <v>15.453999999999997</v>
      </c>
      <c r="K163" s="277"/>
      <c r="L163" s="277">
        <f>SUM(L161:L162)</f>
        <v>10.110758706001981</v>
      </c>
      <c r="M163" s="277">
        <f t="shared" ref="M163" si="263">SUM(M161:M162)</f>
        <v>4.8930217570399153</v>
      </c>
      <c r="N163" s="277">
        <f t="shared" ref="N163" si="264">SUM(N161:N162)</f>
        <v>0.27721953695810336</v>
      </c>
      <c r="O163" s="277">
        <f t="shared" si="256"/>
        <v>15.280999999999999</v>
      </c>
      <c r="P163" s="277"/>
      <c r="Q163" s="277">
        <f>SUM(Q161:Q162)</f>
        <v>10.220284543029837</v>
      </c>
      <c r="R163" s="277">
        <f t="shared" ref="R163" si="265">SUM(R161:R162)</f>
        <v>5.0501050591428296</v>
      </c>
      <c r="S163" s="277">
        <f t="shared" ref="S163" si="266">SUM(S161:S162)</f>
        <v>0.28361039782732705</v>
      </c>
      <c r="T163" s="277">
        <f t="shared" si="257"/>
        <v>15.553999999999995</v>
      </c>
      <c r="U163" s="277"/>
      <c r="V163" s="277">
        <f>SUM(V161:V162)</f>
        <v>10.520703755559976</v>
      </c>
      <c r="W163" s="277">
        <f t="shared" ref="W163" si="267">SUM(W161:W162)</f>
        <v>5.4033600559098254</v>
      </c>
      <c r="X163" s="277">
        <f t="shared" ref="X163" si="268">SUM(X161:X162)</f>
        <v>0.30093618853016718</v>
      </c>
      <c r="Y163" s="277">
        <f t="shared" si="258"/>
        <v>16.224999999999969</v>
      </c>
    </row>
    <row r="167" spans="1:25" ht="15">
      <c r="A167" s="241" t="str">
        <f>"Industry 19 : "&amp; name!B22</f>
        <v>Industry 19 : Education</v>
      </c>
      <c r="B167" s="346">
        <f>$B$5</f>
        <v>2015</v>
      </c>
      <c r="C167" s="346"/>
      <c r="D167" s="346"/>
      <c r="E167" s="346"/>
      <c r="F167" s="291"/>
      <c r="G167" s="346">
        <f>$G$5</f>
        <v>2019</v>
      </c>
      <c r="H167" s="346"/>
      <c r="I167" s="346"/>
      <c r="J167" s="346"/>
      <c r="K167" s="291"/>
      <c r="L167" s="346">
        <f>$L$5</f>
        <v>2020</v>
      </c>
      <c r="M167" s="346"/>
      <c r="N167" s="346"/>
      <c r="O167" s="346"/>
      <c r="P167" s="289"/>
      <c r="Q167" s="346">
        <f>$Q$5</f>
        <v>2025</v>
      </c>
      <c r="R167" s="346"/>
      <c r="S167" s="346"/>
      <c r="T167" s="346"/>
      <c r="U167" s="291"/>
      <c r="V167" s="346">
        <f>$V$5</f>
        <v>2035</v>
      </c>
      <c r="W167" s="346"/>
      <c r="X167" s="346"/>
      <c r="Y167" s="346"/>
    </row>
    <row r="168" spans="1:25">
      <c r="A168" s="240"/>
      <c r="B168" s="244" t="str">
        <f>$B$6</f>
        <v>FT</v>
      </c>
      <c r="C168" s="244" t="str">
        <f>$C$6</f>
        <v>PT</v>
      </c>
      <c r="D168" s="244" t="str">
        <f>$D$6</f>
        <v>SE</v>
      </c>
      <c r="E168" s="244" t="str">
        <f>$E$6</f>
        <v>Total</v>
      </c>
      <c r="F168" s="244"/>
      <c r="G168" s="244" t="str">
        <f>$B$6</f>
        <v>FT</v>
      </c>
      <c r="H168" s="244" t="str">
        <f>$C$6</f>
        <v>PT</v>
      </c>
      <c r="I168" s="244" t="str">
        <f>$D$6</f>
        <v>SE</v>
      </c>
      <c r="J168" s="244" t="str">
        <f>$E$6</f>
        <v>Total</v>
      </c>
      <c r="K168" s="244"/>
      <c r="L168" s="244" t="str">
        <f>$L$6</f>
        <v>FT</v>
      </c>
      <c r="M168" s="244" t="str">
        <f>$M$6</f>
        <v>PT</v>
      </c>
      <c r="N168" s="244" t="str">
        <f>$N$6</f>
        <v>SE</v>
      </c>
      <c r="O168" s="244" t="str">
        <f>$O$6</f>
        <v>Total</v>
      </c>
      <c r="P168" s="244"/>
      <c r="Q168" s="244" t="str">
        <f>$L$6</f>
        <v>FT</v>
      </c>
      <c r="R168" s="244" t="str">
        <f>$M$6</f>
        <v>PT</v>
      </c>
      <c r="S168" s="244" t="str">
        <f>$N$6</f>
        <v>SE</v>
      </c>
      <c r="T168" s="244" t="str">
        <f>$O$6</f>
        <v>Total</v>
      </c>
      <c r="U168" s="244"/>
      <c r="V168" s="244" t="str">
        <f>$V$6</f>
        <v>FT</v>
      </c>
      <c r="W168" s="244" t="str">
        <f>$W$6</f>
        <v>PT</v>
      </c>
      <c r="X168" s="244" t="str">
        <f>$X$6</f>
        <v>SE</v>
      </c>
      <c r="Y168" s="244" t="str">
        <f>$Y$6</f>
        <v>Total</v>
      </c>
    </row>
    <row r="169" spans="1:25">
      <c r="C169" s="290"/>
      <c r="D169" s="290"/>
      <c r="E169" s="290"/>
      <c r="F169" s="290"/>
      <c r="G169" s="290"/>
      <c r="H169" s="290"/>
      <c r="I169" s="290"/>
      <c r="J169" s="290"/>
      <c r="K169" s="290"/>
      <c r="L169" s="290"/>
      <c r="M169" s="290"/>
      <c r="N169" s="290"/>
      <c r="O169" s="290"/>
      <c r="P169" s="290"/>
      <c r="Q169" s="290"/>
      <c r="R169" s="290"/>
      <c r="S169" s="290"/>
      <c r="T169" s="290"/>
      <c r="U169" s="290"/>
      <c r="V169" s="290"/>
      <c r="W169" s="290"/>
      <c r="X169" s="290"/>
      <c r="Y169" s="290"/>
    </row>
    <row r="170" spans="1:25">
      <c r="A170" s="236" t="s">
        <v>142</v>
      </c>
      <c r="B170" s="276">
        <v>13.335318942186374</v>
      </c>
      <c r="C170" s="276">
        <v>17.449516651222559</v>
      </c>
      <c r="D170" s="276">
        <v>1.4233099034796184</v>
      </c>
      <c r="E170" s="276">
        <f>SUM(B170:D170)</f>
        <v>32.208145496888555</v>
      </c>
      <c r="F170" s="276"/>
      <c r="G170" s="276">
        <v>13.914945097508911</v>
      </c>
      <c r="H170" s="276">
        <v>16.361991655363056</v>
      </c>
      <c r="I170" s="276">
        <v>1.5858604407666654</v>
      </c>
      <c r="J170" s="276">
        <f>SUM(G170:I170)</f>
        <v>31.862797193638634</v>
      </c>
      <c r="K170" s="276"/>
      <c r="L170" s="276">
        <v>14.084943498681369</v>
      </c>
      <c r="M170" s="276">
        <v>16.524920696941948</v>
      </c>
      <c r="N170" s="276">
        <v>1.7573062026264166</v>
      </c>
      <c r="O170" s="276">
        <f>SUM(L170:N170)</f>
        <v>32.367170398249733</v>
      </c>
      <c r="P170" s="276"/>
      <c r="Q170" s="276">
        <v>14.81108444003605</v>
      </c>
      <c r="R170" s="276">
        <v>16.633172836695021</v>
      </c>
      <c r="S170" s="276">
        <v>1.8278889168379453</v>
      </c>
      <c r="T170" s="276">
        <f>SUM(Q170:S170)</f>
        <v>33.272146193569014</v>
      </c>
      <c r="U170" s="276"/>
      <c r="V170" s="276">
        <v>16.519711341794121</v>
      </c>
      <c r="W170" s="276">
        <v>16.95894999036291</v>
      </c>
      <c r="X170" s="276">
        <v>1.951087231248412</v>
      </c>
      <c r="Y170" s="276">
        <f>SUM(V170:X170)</f>
        <v>35.429748563405447</v>
      </c>
    </row>
    <row r="171" spans="1:25">
      <c r="A171" s="236" t="s">
        <v>141</v>
      </c>
      <c r="B171" s="276">
        <v>8.3681863497217428</v>
      </c>
      <c r="C171" s="276">
        <v>2.7970448280110403</v>
      </c>
      <c r="D171" s="276">
        <v>1.4366233253787433</v>
      </c>
      <c r="E171" s="276">
        <f t="shared" ref="E171" si="269">SUM(B171:D171)</f>
        <v>12.601854503111527</v>
      </c>
      <c r="F171" s="276"/>
      <c r="G171" s="276">
        <v>8.4488457690811654</v>
      </c>
      <c r="H171" s="276">
        <v>2.781064783875562</v>
      </c>
      <c r="I171" s="276">
        <v>1.312292253404747</v>
      </c>
      <c r="J171" s="276">
        <f t="shared" ref="J171:J172" si="270">SUM(G171:I171)</f>
        <v>12.542202806361475</v>
      </c>
      <c r="K171" s="276"/>
      <c r="L171" s="276">
        <v>8.7368096280798593</v>
      </c>
      <c r="M171" s="276">
        <v>2.5570220676497093</v>
      </c>
      <c r="N171" s="276">
        <v>1.4019979060206686</v>
      </c>
      <c r="O171" s="276">
        <f t="shared" ref="O171:O172" si="271">SUM(L171:N171)</f>
        <v>12.695829601750237</v>
      </c>
      <c r="P171" s="276"/>
      <c r="Q171" s="276">
        <v>8.8700829291628747</v>
      </c>
      <c r="R171" s="276">
        <v>2.6657015479236787</v>
      </c>
      <c r="S171" s="276">
        <v>1.470069329344442</v>
      </c>
      <c r="T171" s="276">
        <f t="shared" ref="T171:T172" si="272">SUM(Q171:S171)</f>
        <v>13.005853806430995</v>
      </c>
      <c r="U171" s="276"/>
      <c r="V171" s="276">
        <v>9.2160583263201801</v>
      </c>
      <c r="W171" s="276">
        <v>2.9029517261329598</v>
      </c>
      <c r="X171" s="276">
        <v>1.6152413841413418</v>
      </c>
      <c r="Y171" s="276">
        <f t="shared" ref="Y171:Y172" si="273">SUM(V171:X171)</f>
        <v>13.734251436594482</v>
      </c>
    </row>
    <row r="172" spans="1:25">
      <c r="A172" s="240" t="s">
        <v>143</v>
      </c>
      <c r="B172" s="277">
        <f>SUM(B170:B171)</f>
        <v>21.703505291908115</v>
      </c>
      <c r="C172" s="277">
        <f t="shared" ref="C172" si="274">SUM(C170:C171)</f>
        <v>20.246561479233598</v>
      </c>
      <c r="D172" s="277">
        <f t="shared" ref="D172" si="275">SUM(D170:D171)</f>
        <v>2.8599332288583614</v>
      </c>
      <c r="E172" s="277">
        <f>SUM(B172:D172)</f>
        <v>44.810000000000073</v>
      </c>
      <c r="F172" s="277"/>
      <c r="G172" s="277">
        <f>SUM(G170:G171)</f>
        <v>22.363790866590076</v>
      </c>
      <c r="H172" s="277">
        <f t="shared" ref="H172" si="276">SUM(H170:H171)</f>
        <v>19.143056439238617</v>
      </c>
      <c r="I172" s="277">
        <f t="shared" ref="I172" si="277">SUM(I170:I171)</f>
        <v>2.8981526941714124</v>
      </c>
      <c r="J172" s="277">
        <f t="shared" si="270"/>
        <v>44.405000000000108</v>
      </c>
      <c r="K172" s="277"/>
      <c r="L172" s="277">
        <f>SUM(L170:L171)</f>
        <v>22.82175312676123</v>
      </c>
      <c r="M172" s="277">
        <f t="shared" ref="M172" si="278">SUM(M170:M171)</f>
        <v>19.081942764591656</v>
      </c>
      <c r="N172" s="277">
        <f t="shared" ref="N172" si="279">SUM(N170:N171)</f>
        <v>3.1593041086470852</v>
      </c>
      <c r="O172" s="277">
        <f t="shared" si="271"/>
        <v>45.062999999999967</v>
      </c>
      <c r="P172" s="277"/>
      <c r="Q172" s="277">
        <f>SUM(Q170:Q171)</f>
        <v>23.681167369198924</v>
      </c>
      <c r="R172" s="277">
        <f t="shared" ref="R172" si="280">SUM(R170:R171)</f>
        <v>19.298874384618699</v>
      </c>
      <c r="S172" s="277">
        <f t="shared" ref="S172" si="281">SUM(S170:S171)</f>
        <v>3.2979582461823873</v>
      </c>
      <c r="T172" s="277">
        <f t="shared" si="272"/>
        <v>46.278000000000013</v>
      </c>
      <c r="U172" s="277"/>
      <c r="V172" s="277">
        <f>SUM(V170:V171)</f>
        <v>25.735769668114301</v>
      </c>
      <c r="W172" s="277">
        <f t="shared" ref="W172" si="282">SUM(W170:W171)</f>
        <v>19.861901716495872</v>
      </c>
      <c r="X172" s="277">
        <f t="shared" ref="X172" si="283">SUM(X170:X171)</f>
        <v>3.5663286153897538</v>
      </c>
      <c r="Y172" s="277">
        <f t="shared" si="273"/>
        <v>49.16399999999993</v>
      </c>
    </row>
    <row r="176" spans="1:25" ht="15">
      <c r="A176" s="241" t="str">
        <f>"Industry 20 : "&amp; name!B23</f>
        <v>Industry 20 : Health and social work</v>
      </c>
      <c r="B176" s="346">
        <f>$B$5</f>
        <v>2015</v>
      </c>
      <c r="C176" s="346"/>
      <c r="D176" s="346"/>
      <c r="E176" s="346"/>
      <c r="F176" s="291"/>
      <c r="G176" s="346">
        <f>$G$5</f>
        <v>2019</v>
      </c>
      <c r="H176" s="346"/>
      <c r="I176" s="346"/>
      <c r="J176" s="346"/>
      <c r="K176" s="291"/>
      <c r="L176" s="346">
        <f>$L$5</f>
        <v>2020</v>
      </c>
      <c r="M176" s="346"/>
      <c r="N176" s="346"/>
      <c r="O176" s="346"/>
      <c r="P176" s="289"/>
      <c r="Q176" s="346">
        <f>$Q$5</f>
        <v>2025</v>
      </c>
      <c r="R176" s="346"/>
      <c r="S176" s="346"/>
      <c r="T176" s="346"/>
      <c r="U176" s="291"/>
      <c r="V176" s="346">
        <f>$V$5</f>
        <v>2035</v>
      </c>
      <c r="W176" s="346"/>
      <c r="X176" s="346"/>
      <c r="Y176" s="346"/>
    </row>
    <row r="177" spans="1:25">
      <c r="A177" s="240"/>
      <c r="B177" s="244" t="str">
        <f>$B$6</f>
        <v>FT</v>
      </c>
      <c r="C177" s="244" t="str">
        <f>$C$6</f>
        <v>PT</v>
      </c>
      <c r="D177" s="244" t="str">
        <f>$D$6</f>
        <v>SE</v>
      </c>
      <c r="E177" s="244" t="str">
        <f>$E$6</f>
        <v>Total</v>
      </c>
      <c r="F177" s="244"/>
      <c r="G177" s="244" t="str">
        <f>$B$6</f>
        <v>FT</v>
      </c>
      <c r="H177" s="244" t="str">
        <f>$C$6</f>
        <v>PT</v>
      </c>
      <c r="I177" s="244" t="str">
        <f>$D$6</f>
        <v>SE</v>
      </c>
      <c r="J177" s="244" t="str">
        <f>$E$6</f>
        <v>Total</v>
      </c>
      <c r="K177" s="244"/>
      <c r="L177" s="244" t="str">
        <f>$L$6</f>
        <v>FT</v>
      </c>
      <c r="M177" s="244" t="str">
        <f>$M$6</f>
        <v>PT</v>
      </c>
      <c r="N177" s="244" t="str">
        <f>$N$6</f>
        <v>SE</v>
      </c>
      <c r="O177" s="244" t="str">
        <f>$O$6</f>
        <v>Total</v>
      </c>
      <c r="P177" s="244"/>
      <c r="Q177" s="244" t="str">
        <f>$L$6</f>
        <v>FT</v>
      </c>
      <c r="R177" s="244" t="str">
        <f>$M$6</f>
        <v>PT</v>
      </c>
      <c r="S177" s="244" t="str">
        <f>$N$6</f>
        <v>SE</v>
      </c>
      <c r="T177" s="244" t="str">
        <f>$O$6</f>
        <v>Total</v>
      </c>
      <c r="U177" s="244"/>
      <c r="V177" s="244" t="str">
        <f>$V$6</f>
        <v>FT</v>
      </c>
      <c r="W177" s="244" t="str">
        <f>$W$6</f>
        <v>PT</v>
      </c>
      <c r="X177" s="244" t="str">
        <f>$X$6</f>
        <v>SE</v>
      </c>
      <c r="Y177" s="244" t="str">
        <f>$Y$6</f>
        <v>Total</v>
      </c>
    </row>
    <row r="178" spans="1:25">
      <c r="C178" s="290"/>
      <c r="D178" s="290"/>
      <c r="E178" s="290"/>
      <c r="F178" s="290"/>
      <c r="G178" s="290"/>
      <c r="H178" s="290"/>
      <c r="I178" s="290"/>
      <c r="J178" s="290"/>
      <c r="K178" s="290"/>
      <c r="L178" s="290"/>
      <c r="M178" s="290"/>
      <c r="N178" s="290"/>
      <c r="O178" s="290"/>
      <c r="P178" s="290"/>
      <c r="Q178" s="290"/>
      <c r="R178" s="290"/>
      <c r="S178" s="290"/>
      <c r="T178" s="290"/>
      <c r="U178" s="290"/>
      <c r="V178" s="290"/>
      <c r="W178" s="290"/>
      <c r="X178" s="290"/>
      <c r="Y178" s="290"/>
    </row>
    <row r="179" spans="1:25">
      <c r="A179" s="236" t="s">
        <v>142</v>
      </c>
      <c r="B179" s="276">
        <v>23.251604993116352</v>
      </c>
      <c r="C179" s="276">
        <v>21.856362712129322</v>
      </c>
      <c r="D179" s="276">
        <v>3.0182524827200243</v>
      </c>
      <c r="E179" s="276">
        <f>SUM(B179:D179)</f>
        <v>48.126220187965693</v>
      </c>
      <c r="F179" s="276"/>
      <c r="G179" s="276">
        <v>28.449227888703575</v>
      </c>
      <c r="H179" s="276">
        <v>26.056347728169943</v>
      </c>
      <c r="I179" s="276">
        <v>3.3183325077709034</v>
      </c>
      <c r="J179" s="276">
        <f>SUM(G179:I179)</f>
        <v>57.823908124644419</v>
      </c>
      <c r="K179" s="276"/>
      <c r="L179" s="276">
        <v>28.946679698156814</v>
      </c>
      <c r="M179" s="276">
        <v>25.353827852907315</v>
      </c>
      <c r="N179" s="276">
        <v>2.3276041055154866</v>
      </c>
      <c r="O179" s="276">
        <f>SUM(L179:N179)</f>
        <v>56.628111656579613</v>
      </c>
      <c r="P179" s="276"/>
      <c r="Q179" s="276">
        <v>31.674450141240523</v>
      </c>
      <c r="R179" s="276">
        <v>26.15257525079755</v>
      </c>
      <c r="S179" s="276">
        <v>2.6225915257025103</v>
      </c>
      <c r="T179" s="276">
        <f>SUM(Q179:S179)</f>
        <v>60.449616917740585</v>
      </c>
      <c r="U179" s="276"/>
      <c r="V179" s="276">
        <v>35.47322187450763</v>
      </c>
      <c r="W179" s="276">
        <v>25.78526819630115</v>
      </c>
      <c r="X179" s="276">
        <v>3.0157054248986834</v>
      </c>
      <c r="Y179" s="276">
        <f>SUM(V179:X179)</f>
        <v>64.27419549570746</v>
      </c>
    </row>
    <row r="180" spans="1:25">
      <c r="A180" s="236" t="s">
        <v>141</v>
      </c>
      <c r="B180" s="276">
        <v>9.3772259195502325</v>
      </c>
      <c r="C180" s="276">
        <v>2.3328900105314294</v>
      </c>
      <c r="D180" s="276">
        <v>1.0306638819527518</v>
      </c>
      <c r="E180" s="276">
        <f t="shared" ref="E180:E181" si="284">SUM(B180:D180)</f>
        <v>12.740779812034413</v>
      </c>
      <c r="F180" s="276"/>
      <c r="G180" s="276">
        <v>9.8602492956187202</v>
      </c>
      <c r="H180" s="276">
        <v>2.9537662786107823</v>
      </c>
      <c r="I180" s="276">
        <v>2.19207630112603</v>
      </c>
      <c r="J180" s="276">
        <f t="shared" ref="J180:J181" si="285">SUM(G180:I180)</f>
        <v>15.006091875355533</v>
      </c>
      <c r="K180" s="276"/>
      <c r="L180" s="276">
        <v>9.6901075714728844</v>
      </c>
      <c r="M180" s="276">
        <v>2.9097972017943849</v>
      </c>
      <c r="N180" s="276">
        <v>2.5419835701530942</v>
      </c>
      <c r="O180" s="276">
        <f t="shared" ref="O180:O181" si="286">SUM(L180:N180)</f>
        <v>15.141888343420364</v>
      </c>
      <c r="P180" s="276"/>
      <c r="Q180" s="276">
        <v>10.320154540033348</v>
      </c>
      <c r="R180" s="276">
        <v>3.1742103354512285</v>
      </c>
      <c r="S180" s="276">
        <v>2.5710182067748515</v>
      </c>
      <c r="T180" s="276">
        <f t="shared" ref="T180:T181" si="287">SUM(Q180:S180)</f>
        <v>16.065383082259427</v>
      </c>
      <c r="U180" s="276"/>
      <c r="V180" s="276">
        <v>10.972786289955964</v>
      </c>
      <c r="W180" s="276">
        <v>3.5035865642958366</v>
      </c>
      <c r="X180" s="276">
        <v>2.4524316500407877</v>
      </c>
      <c r="Y180" s="276">
        <f t="shared" ref="Y180:Y181" si="288">SUM(V180:X180)</f>
        <v>16.928804504292589</v>
      </c>
    </row>
    <row r="181" spans="1:25">
      <c r="A181" s="240" t="s">
        <v>143</v>
      </c>
      <c r="B181" s="277">
        <f>SUM(B179:B180)</f>
        <v>32.628830912666587</v>
      </c>
      <c r="C181" s="277">
        <f t="shared" ref="C181" si="289">SUM(C179:C180)</f>
        <v>24.189252722660751</v>
      </c>
      <c r="D181" s="277">
        <f t="shared" ref="D181" si="290">SUM(D179:D180)</f>
        <v>4.0489163646727757</v>
      </c>
      <c r="E181" s="277">
        <f t="shared" si="284"/>
        <v>60.867000000000118</v>
      </c>
      <c r="F181" s="277"/>
      <c r="G181" s="277">
        <f>SUM(G179:G180)</f>
        <v>38.309477184322297</v>
      </c>
      <c r="H181" s="277">
        <f t="shared" ref="H181" si="291">SUM(H179:H180)</f>
        <v>29.010114006780725</v>
      </c>
      <c r="I181" s="277">
        <f t="shared" ref="I181" si="292">SUM(I179:I180)</f>
        <v>5.5104088088969334</v>
      </c>
      <c r="J181" s="277">
        <f t="shared" si="285"/>
        <v>72.829999999999956</v>
      </c>
      <c r="K181" s="277"/>
      <c r="L181" s="277">
        <f>SUM(L179:L180)</f>
        <v>38.6367872696297</v>
      </c>
      <c r="M181" s="277">
        <f t="shared" ref="M181" si="293">SUM(M179:M180)</f>
        <v>28.263625054701699</v>
      </c>
      <c r="N181" s="277">
        <f t="shared" ref="N181" si="294">SUM(N179:N180)</f>
        <v>4.8695876756685808</v>
      </c>
      <c r="O181" s="277">
        <f t="shared" si="286"/>
        <v>71.769999999999982</v>
      </c>
      <c r="P181" s="277"/>
      <c r="Q181" s="277">
        <f>SUM(Q179:Q180)</f>
        <v>41.99460468127387</v>
      </c>
      <c r="R181" s="277">
        <f t="shared" ref="R181" si="295">SUM(R179:R180)</f>
        <v>29.326785586248779</v>
      </c>
      <c r="S181" s="277">
        <f t="shared" ref="S181" si="296">SUM(S179:S180)</f>
        <v>5.1936097324773618</v>
      </c>
      <c r="T181" s="277">
        <f t="shared" si="287"/>
        <v>76.515000000000001</v>
      </c>
      <c r="U181" s="277"/>
      <c r="V181" s="277">
        <f>SUM(V179:V180)</f>
        <v>46.446008164463592</v>
      </c>
      <c r="W181" s="277">
        <f t="shared" ref="W181" si="297">SUM(W179:W180)</f>
        <v>29.288854760596987</v>
      </c>
      <c r="X181" s="277">
        <f t="shared" ref="X181" si="298">SUM(X179:X180)</f>
        <v>5.4681370749394711</v>
      </c>
      <c r="Y181" s="277">
        <f t="shared" si="288"/>
        <v>81.20300000000006</v>
      </c>
    </row>
    <row r="182" spans="1:25">
      <c r="C182" s="239"/>
    </row>
    <row r="183" spans="1:25">
      <c r="A183" s="237"/>
    </row>
    <row r="184" spans="1:25">
      <c r="C184" s="239"/>
    </row>
    <row r="185" spans="1:25" ht="15">
      <c r="A185" s="241" t="str">
        <f>"Industry 21 : "&amp; name!B24</f>
        <v>Industry 21 : Arts and entertainment</v>
      </c>
      <c r="B185" s="346">
        <f>$B$5</f>
        <v>2015</v>
      </c>
      <c r="C185" s="346"/>
      <c r="D185" s="346"/>
      <c r="E185" s="346"/>
      <c r="F185" s="291"/>
      <c r="G185" s="346">
        <f>$G$5</f>
        <v>2019</v>
      </c>
      <c r="H185" s="346"/>
      <c r="I185" s="346"/>
      <c r="J185" s="346"/>
      <c r="K185" s="291"/>
      <c r="L185" s="346">
        <f>$L$5</f>
        <v>2020</v>
      </c>
      <c r="M185" s="346"/>
      <c r="N185" s="346"/>
      <c r="O185" s="346"/>
      <c r="P185" s="289"/>
      <c r="Q185" s="346">
        <f>$Q$5</f>
        <v>2025</v>
      </c>
      <c r="R185" s="346"/>
      <c r="S185" s="346"/>
      <c r="T185" s="346"/>
      <c r="U185" s="291"/>
      <c r="V185" s="346">
        <f>$V$5</f>
        <v>2035</v>
      </c>
      <c r="W185" s="346"/>
      <c r="X185" s="346"/>
      <c r="Y185" s="346"/>
    </row>
    <row r="186" spans="1:25">
      <c r="A186" s="240"/>
      <c r="B186" s="244" t="str">
        <f>$B$6</f>
        <v>FT</v>
      </c>
      <c r="C186" s="244" t="str">
        <f>$C$6</f>
        <v>PT</v>
      </c>
      <c r="D186" s="244" t="str">
        <f>$D$6</f>
        <v>SE</v>
      </c>
      <c r="E186" s="244" t="str">
        <f>$E$6</f>
        <v>Total</v>
      </c>
      <c r="F186" s="244"/>
      <c r="G186" s="244" t="str">
        <f>$B$6</f>
        <v>FT</v>
      </c>
      <c r="H186" s="244" t="str">
        <f>$C$6</f>
        <v>PT</v>
      </c>
      <c r="I186" s="244" t="str">
        <f>$D$6</f>
        <v>SE</v>
      </c>
      <c r="J186" s="244" t="str">
        <f>$E$6</f>
        <v>Total</v>
      </c>
      <c r="K186" s="244"/>
      <c r="L186" s="244" t="str">
        <f>$L$6</f>
        <v>FT</v>
      </c>
      <c r="M186" s="244" t="str">
        <f>$M$6</f>
        <v>PT</v>
      </c>
      <c r="N186" s="244" t="str">
        <f>$N$6</f>
        <v>SE</v>
      </c>
      <c r="O186" s="244" t="str">
        <f>$O$6</f>
        <v>Total</v>
      </c>
      <c r="P186" s="244"/>
      <c r="Q186" s="244" t="str">
        <f>$L$6</f>
        <v>FT</v>
      </c>
      <c r="R186" s="244" t="str">
        <f>$M$6</f>
        <v>PT</v>
      </c>
      <c r="S186" s="244" t="str">
        <f>$N$6</f>
        <v>SE</v>
      </c>
      <c r="T186" s="244" t="str">
        <f>$O$6</f>
        <v>Total</v>
      </c>
      <c r="U186" s="244"/>
      <c r="V186" s="244" t="str">
        <f>$V$6</f>
        <v>FT</v>
      </c>
      <c r="W186" s="244" t="str">
        <f>$W$6</f>
        <v>PT</v>
      </c>
      <c r="X186" s="244" t="str">
        <f>$X$6</f>
        <v>SE</v>
      </c>
      <c r="Y186" s="244" t="str">
        <f>$Y$6</f>
        <v>Total</v>
      </c>
    </row>
    <row r="187" spans="1:25">
      <c r="A187" s="238"/>
      <c r="C187" s="290"/>
      <c r="D187" s="290"/>
      <c r="E187" s="290"/>
      <c r="F187" s="290"/>
      <c r="G187" s="290"/>
      <c r="H187" s="290"/>
      <c r="I187" s="290"/>
      <c r="J187" s="290"/>
      <c r="K187" s="290"/>
      <c r="L187" s="290"/>
      <c r="M187" s="290"/>
      <c r="N187" s="290"/>
      <c r="O187" s="290"/>
      <c r="P187" s="290"/>
      <c r="Q187" s="290"/>
      <c r="R187" s="290"/>
      <c r="S187" s="290"/>
      <c r="T187" s="290"/>
      <c r="U187" s="290"/>
      <c r="V187" s="290"/>
      <c r="W187" s="290"/>
      <c r="X187" s="290"/>
      <c r="Y187" s="290"/>
    </row>
    <row r="188" spans="1:25">
      <c r="A188" s="236" t="s">
        <v>142</v>
      </c>
      <c r="B188" s="276">
        <v>1.7110716905871906</v>
      </c>
      <c r="C188" s="276">
        <v>2.897269183737142</v>
      </c>
      <c r="D188" s="276">
        <v>1.1349532762697325</v>
      </c>
      <c r="E188" s="276">
        <f>SUM(B188:D188)</f>
        <v>5.7432941505940649</v>
      </c>
      <c r="F188" s="276"/>
      <c r="G188" s="276">
        <v>1.6460411057065467</v>
      </c>
      <c r="H188" s="276">
        <v>2.599587147700499</v>
      </c>
      <c r="I188" s="276">
        <v>1.1900991102194352</v>
      </c>
      <c r="J188" s="276">
        <f>SUM(G188:I188)</f>
        <v>5.4357273636264809</v>
      </c>
      <c r="K188" s="276"/>
      <c r="L188" s="276">
        <v>2.0005158661247031</v>
      </c>
      <c r="M188" s="276">
        <v>2.9623938372715197</v>
      </c>
      <c r="N188" s="276">
        <v>0.96171937626058857</v>
      </c>
      <c r="O188" s="276">
        <f>SUM(L188:N188)</f>
        <v>5.9246290796568113</v>
      </c>
      <c r="P188" s="276"/>
      <c r="Q188" s="276">
        <v>1.8383701763898876</v>
      </c>
      <c r="R188" s="276">
        <v>2.9088604577464494</v>
      </c>
      <c r="S188" s="276">
        <v>0.80669261616685128</v>
      </c>
      <c r="T188" s="276">
        <f>SUM(Q188:S188)</f>
        <v>5.553923250303189</v>
      </c>
      <c r="U188" s="276"/>
      <c r="V188" s="276">
        <v>1.8279029542647047</v>
      </c>
      <c r="W188" s="276">
        <v>3.0715796955751786</v>
      </c>
      <c r="X188" s="276">
        <v>0.87953355780107989</v>
      </c>
      <c r="Y188" s="276">
        <f>SUM(V188:X188)</f>
        <v>5.7790162076409626</v>
      </c>
    </row>
    <row r="189" spans="1:25">
      <c r="A189" s="236" t="s">
        <v>141</v>
      </c>
      <c r="B189" s="276">
        <v>2.1229963568507895</v>
      </c>
      <c r="C189" s="276">
        <v>2.0740262916492038</v>
      </c>
      <c r="D189" s="276">
        <v>1.9616832009059593</v>
      </c>
      <c r="E189" s="276">
        <f t="shared" ref="E189:E190" si="299">SUM(B189:D189)</f>
        <v>6.158705849405953</v>
      </c>
      <c r="F189" s="276"/>
      <c r="G189" s="276">
        <v>2.5763375387773708</v>
      </c>
      <c r="H189" s="276">
        <v>1.5688024719607525</v>
      </c>
      <c r="I189" s="276">
        <v>2.5891326256354024</v>
      </c>
      <c r="J189" s="276">
        <f t="shared" ref="J189:J190" si="300">SUM(G189:I189)</f>
        <v>6.7342726363735252</v>
      </c>
      <c r="K189" s="276"/>
      <c r="L189" s="276">
        <v>2.2125572259793849</v>
      </c>
      <c r="M189" s="276">
        <v>1.69537930939642</v>
      </c>
      <c r="N189" s="276">
        <v>2.0774343849673809</v>
      </c>
      <c r="O189" s="276">
        <f t="shared" ref="O189:O190" si="301">SUM(L189:N189)</f>
        <v>5.9853709203431862</v>
      </c>
      <c r="P189" s="276"/>
      <c r="Q189" s="276">
        <v>2.1752839222146481</v>
      </c>
      <c r="R189" s="276">
        <v>1.7217709640994712</v>
      </c>
      <c r="S189" s="276">
        <v>1.8340218633827003</v>
      </c>
      <c r="T189" s="276">
        <f t="shared" ref="T189:T190" si="302">SUM(Q189:S189)</f>
        <v>5.73107674969682</v>
      </c>
      <c r="U189" s="276"/>
      <c r="V189" s="276">
        <v>2.322690490468363</v>
      </c>
      <c r="W189" s="276">
        <v>1.9021689982280636</v>
      </c>
      <c r="X189" s="276">
        <v>1.9491243036626058</v>
      </c>
      <c r="Y189" s="276">
        <f t="shared" ref="Y189:Y190" si="303">SUM(V189:X189)</f>
        <v>6.1739837923590324</v>
      </c>
    </row>
    <row r="190" spans="1:25">
      <c r="A190" s="240" t="s">
        <v>143</v>
      </c>
      <c r="B190" s="277">
        <f>SUM(B188:B189)</f>
        <v>3.83406804743798</v>
      </c>
      <c r="C190" s="277">
        <f t="shared" ref="C190" si="304">SUM(C188:C189)</f>
        <v>4.9712954753863459</v>
      </c>
      <c r="D190" s="277">
        <f t="shared" ref="D190" si="305">SUM(D188:D189)</f>
        <v>3.096636477175692</v>
      </c>
      <c r="E190" s="277">
        <f t="shared" si="299"/>
        <v>11.902000000000019</v>
      </c>
      <c r="F190" s="277"/>
      <c r="G190" s="277">
        <f>SUM(G188:G189)</f>
        <v>4.2223786444839178</v>
      </c>
      <c r="H190" s="277">
        <f t="shared" ref="H190" si="306">SUM(H188:H189)</f>
        <v>4.1683896196612515</v>
      </c>
      <c r="I190" s="277">
        <f t="shared" ref="I190" si="307">SUM(I188:I189)</f>
        <v>3.7792317358548377</v>
      </c>
      <c r="J190" s="277">
        <f t="shared" si="300"/>
        <v>12.170000000000007</v>
      </c>
      <c r="K190" s="277"/>
      <c r="L190" s="277">
        <f>SUM(L188:L189)</f>
        <v>4.2130730921040875</v>
      </c>
      <c r="M190" s="277">
        <f t="shared" ref="M190" si="308">SUM(M188:M189)</f>
        <v>4.6577731466679397</v>
      </c>
      <c r="N190" s="277">
        <f t="shared" ref="N190" si="309">SUM(N188:N189)</f>
        <v>3.0391537612279693</v>
      </c>
      <c r="O190" s="277">
        <f t="shared" si="301"/>
        <v>11.909999999999997</v>
      </c>
      <c r="P190" s="277"/>
      <c r="Q190" s="277">
        <f>SUM(Q188:Q189)</f>
        <v>4.0136540986045359</v>
      </c>
      <c r="R190" s="277">
        <f t="shared" ref="R190" si="310">SUM(R188:R189)</f>
        <v>4.630631421845921</v>
      </c>
      <c r="S190" s="277">
        <f t="shared" ref="S190" si="311">SUM(S188:S189)</f>
        <v>2.6407144795495516</v>
      </c>
      <c r="T190" s="277">
        <f t="shared" si="302"/>
        <v>11.285000000000007</v>
      </c>
      <c r="U190" s="277"/>
      <c r="V190" s="277">
        <f>SUM(V188:V189)</f>
        <v>4.1505934447330679</v>
      </c>
      <c r="W190" s="277">
        <f t="shared" ref="W190" si="312">SUM(W188:W189)</f>
        <v>4.973748693803242</v>
      </c>
      <c r="X190" s="277">
        <f t="shared" ref="X190" si="313">SUM(X188:X189)</f>
        <v>2.8286578614636859</v>
      </c>
      <c r="Y190" s="277">
        <f t="shared" si="303"/>
        <v>11.952999999999996</v>
      </c>
    </row>
    <row r="194" spans="1:25" ht="15">
      <c r="A194" s="241" t="str">
        <f>"Industry 22 : "&amp; name!B25</f>
        <v>Industry 22 : Other services</v>
      </c>
      <c r="B194" s="346">
        <f>$B$5</f>
        <v>2015</v>
      </c>
      <c r="C194" s="346"/>
      <c r="D194" s="346"/>
      <c r="E194" s="346"/>
      <c r="F194" s="291"/>
      <c r="G194" s="346">
        <f>$G$5</f>
        <v>2019</v>
      </c>
      <c r="H194" s="346"/>
      <c r="I194" s="346"/>
      <c r="J194" s="346"/>
      <c r="K194" s="291"/>
      <c r="L194" s="346">
        <f>$L$5</f>
        <v>2020</v>
      </c>
      <c r="M194" s="346"/>
      <c r="N194" s="346"/>
      <c r="O194" s="346"/>
      <c r="P194" s="289"/>
      <c r="Q194" s="346">
        <f>$Q$5</f>
        <v>2025</v>
      </c>
      <c r="R194" s="346"/>
      <c r="S194" s="346"/>
      <c r="T194" s="346"/>
      <c r="U194" s="291"/>
      <c r="V194" s="346">
        <f>$V$5</f>
        <v>2035</v>
      </c>
      <c r="W194" s="346"/>
      <c r="X194" s="346"/>
      <c r="Y194" s="346"/>
    </row>
    <row r="195" spans="1:25">
      <c r="A195" s="240"/>
      <c r="B195" s="244" t="str">
        <f>$B$6</f>
        <v>FT</v>
      </c>
      <c r="C195" s="244" t="str">
        <f>$C$6</f>
        <v>PT</v>
      </c>
      <c r="D195" s="244" t="str">
        <f>$D$6</f>
        <v>SE</v>
      </c>
      <c r="E195" s="244" t="str">
        <f>$E$6</f>
        <v>Total</v>
      </c>
      <c r="F195" s="244"/>
      <c r="G195" s="244" t="str">
        <f>$B$6</f>
        <v>FT</v>
      </c>
      <c r="H195" s="244" t="str">
        <f>$C$6</f>
        <v>PT</v>
      </c>
      <c r="I195" s="244" t="str">
        <f>$D$6</f>
        <v>SE</v>
      </c>
      <c r="J195" s="244" t="str">
        <f>$E$6</f>
        <v>Total</v>
      </c>
      <c r="K195" s="244"/>
      <c r="L195" s="244" t="str">
        <f>$L$6</f>
        <v>FT</v>
      </c>
      <c r="M195" s="244" t="str">
        <f>$M$6</f>
        <v>PT</v>
      </c>
      <c r="N195" s="244" t="str">
        <f>$N$6</f>
        <v>SE</v>
      </c>
      <c r="O195" s="244" t="str">
        <f>$O$6</f>
        <v>Total</v>
      </c>
      <c r="P195" s="244"/>
      <c r="Q195" s="244" t="str">
        <f>$L$6</f>
        <v>FT</v>
      </c>
      <c r="R195" s="244" t="str">
        <f>$M$6</f>
        <v>PT</v>
      </c>
      <c r="S195" s="244" t="str">
        <f>$N$6</f>
        <v>SE</v>
      </c>
      <c r="T195" s="244" t="str">
        <f>$O$6</f>
        <v>Total</v>
      </c>
      <c r="U195" s="244"/>
      <c r="V195" s="244" t="str">
        <f>$V$6</f>
        <v>FT</v>
      </c>
      <c r="W195" s="244" t="str">
        <f>$W$6</f>
        <v>PT</v>
      </c>
      <c r="X195" s="244" t="str">
        <f>$X$6</f>
        <v>SE</v>
      </c>
      <c r="Y195" s="244" t="str">
        <f>$Y$6</f>
        <v>Total</v>
      </c>
    </row>
    <row r="196" spans="1:25">
      <c r="C196" s="290"/>
      <c r="D196" s="290"/>
      <c r="E196" s="290"/>
      <c r="F196" s="290"/>
      <c r="G196" s="290"/>
      <c r="H196" s="290"/>
      <c r="I196" s="290"/>
      <c r="J196" s="290"/>
      <c r="K196" s="290"/>
      <c r="L196" s="290"/>
      <c r="M196" s="290"/>
      <c r="N196" s="290"/>
      <c r="O196" s="290"/>
      <c r="P196" s="290"/>
      <c r="Q196" s="290"/>
      <c r="R196" s="290"/>
      <c r="S196" s="290"/>
      <c r="T196" s="290"/>
      <c r="U196" s="290"/>
      <c r="V196" s="290"/>
      <c r="W196" s="290"/>
      <c r="X196" s="290"/>
      <c r="Y196" s="290"/>
    </row>
    <row r="197" spans="1:25">
      <c r="A197" s="236" t="s">
        <v>142</v>
      </c>
      <c r="B197" s="276">
        <v>3.6503110279571649</v>
      </c>
      <c r="C197" s="276">
        <v>3.3462304248895172</v>
      </c>
      <c r="D197" s="276">
        <v>3.1198977032706861</v>
      </c>
      <c r="E197" s="276">
        <f>SUM(B197:D197)</f>
        <v>10.116439156117368</v>
      </c>
      <c r="F197" s="276"/>
      <c r="G197" s="276">
        <v>2.922620674335255</v>
      </c>
      <c r="H197" s="276">
        <v>2.8441587988900712</v>
      </c>
      <c r="I197" s="276">
        <v>3.0660745754896479</v>
      </c>
      <c r="J197" s="276">
        <f>SUM(G197:I197)</f>
        <v>8.8328540487149745</v>
      </c>
      <c r="K197" s="276"/>
      <c r="L197" s="276">
        <v>2.9862109679900359</v>
      </c>
      <c r="M197" s="276">
        <v>2.5062274032067062</v>
      </c>
      <c r="N197" s="276">
        <v>2.9975953008708669</v>
      </c>
      <c r="O197" s="276">
        <f>SUM(L197:N197)</f>
        <v>8.4900336720676091</v>
      </c>
      <c r="P197" s="276"/>
      <c r="Q197" s="276">
        <v>2.8196894166435205</v>
      </c>
      <c r="R197" s="276">
        <v>2.4079522913051283</v>
      </c>
      <c r="S197" s="276">
        <v>2.9307665721286145</v>
      </c>
      <c r="T197" s="276">
        <f>SUM(Q197:S197)</f>
        <v>8.1584082800772642</v>
      </c>
      <c r="U197" s="276"/>
      <c r="V197" s="276">
        <v>2.7091623578274864</v>
      </c>
      <c r="W197" s="276">
        <v>2.3461372735985688</v>
      </c>
      <c r="X197" s="276">
        <v>2.9038667037788404</v>
      </c>
      <c r="Y197" s="276">
        <f>SUM(V197:X197)</f>
        <v>7.9591663352048956</v>
      </c>
    </row>
    <row r="198" spans="1:25">
      <c r="A198" s="236" t="s">
        <v>141</v>
      </c>
      <c r="B198" s="276">
        <v>3.7812346209645051</v>
      </c>
      <c r="C198" s="276">
        <v>1.0875104903243236</v>
      </c>
      <c r="D198" s="276">
        <v>1.4388157325938031</v>
      </c>
      <c r="E198" s="276">
        <f t="shared" ref="E198:E199" si="314">SUM(B198:D198)</f>
        <v>6.3075608438826318</v>
      </c>
      <c r="F198" s="276"/>
      <c r="G198" s="276">
        <v>2.5804864878317955</v>
      </c>
      <c r="H198" s="276">
        <v>1.3111215111856296</v>
      </c>
      <c r="I198" s="276">
        <v>0.95753795226759397</v>
      </c>
      <c r="J198" s="276">
        <f t="shared" ref="J198:J199" si="315">SUM(G198:I198)</f>
        <v>4.8491459512850188</v>
      </c>
      <c r="K198" s="276"/>
      <c r="L198" s="276">
        <v>2.6398258980854208</v>
      </c>
      <c r="M198" s="276">
        <v>1.138433289367377</v>
      </c>
      <c r="N198" s="276">
        <v>0.67870714047960645</v>
      </c>
      <c r="O198" s="276">
        <f t="shared" ref="O198:O199" si="316">SUM(L198:N198)</f>
        <v>4.4569663279324043</v>
      </c>
      <c r="P198" s="276"/>
      <c r="Q198" s="276">
        <v>2.6575000662685437</v>
      </c>
      <c r="R198" s="276">
        <v>1.1055935222069766</v>
      </c>
      <c r="S198" s="276">
        <v>0.6824981314472196</v>
      </c>
      <c r="T198" s="276">
        <f t="shared" ref="T198:T199" si="317">SUM(Q198:S198)</f>
        <v>4.4455917199227404</v>
      </c>
      <c r="U198" s="276"/>
      <c r="V198" s="276">
        <v>2.8025068941664819</v>
      </c>
      <c r="W198" s="276">
        <v>1.1164607694819471</v>
      </c>
      <c r="X198" s="276">
        <v>0.71686600114665944</v>
      </c>
      <c r="Y198" s="276">
        <f t="shared" ref="Y198:Y199" si="318">SUM(V198:X198)</f>
        <v>4.6358336647950882</v>
      </c>
    </row>
    <row r="199" spans="1:25">
      <c r="A199" s="240" t="s">
        <v>143</v>
      </c>
      <c r="B199" s="277">
        <f>SUM(B197:B198)</f>
        <v>7.43154564892167</v>
      </c>
      <c r="C199" s="277">
        <f t="shared" ref="C199" si="319">SUM(C197:C198)</f>
        <v>4.4337409152138409</v>
      </c>
      <c r="D199" s="277">
        <f t="shared" ref="D199" si="320">SUM(D197:D198)</f>
        <v>4.5587134358644894</v>
      </c>
      <c r="E199" s="277">
        <f t="shared" si="314"/>
        <v>16.423999999999999</v>
      </c>
      <c r="F199" s="277"/>
      <c r="G199" s="277">
        <f>SUM(G197:G198)</f>
        <v>5.5031071621670504</v>
      </c>
      <c r="H199" s="277">
        <f t="shared" ref="H199" si="321">SUM(H197:H198)</f>
        <v>4.1552803100757005</v>
      </c>
      <c r="I199" s="277">
        <f t="shared" ref="I199" si="322">SUM(I197:I198)</f>
        <v>4.0236125277572423</v>
      </c>
      <c r="J199" s="277">
        <f t="shared" si="315"/>
        <v>13.681999999999993</v>
      </c>
      <c r="K199" s="277"/>
      <c r="L199" s="277">
        <f>SUM(L197:L198)</f>
        <v>5.6260368660754567</v>
      </c>
      <c r="M199" s="277">
        <f t="shared" ref="M199" si="323">SUM(M197:M198)</f>
        <v>3.6446606925740834</v>
      </c>
      <c r="N199" s="277">
        <f t="shared" ref="N199" si="324">SUM(N197:N198)</f>
        <v>3.6763024413504732</v>
      </c>
      <c r="O199" s="277">
        <f t="shared" si="316"/>
        <v>12.947000000000013</v>
      </c>
      <c r="P199" s="277"/>
      <c r="Q199" s="277">
        <f>SUM(Q197:Q198)</f>
        <v>5.4771894829120642</v>
      </c>
      <c r="R199" s="277">
        <f t="shared" ref="R199" si="325">SUM(R197:R198)</f>
        <v>3.5135458135121049</v>
      </c>
      <c r="S199" s="277">
        <f t="shared" ref="S199" si="326">SUM(S197:S198)</f>
        <v>3.6132647035758341</v>
      </c>
      <c r="T199" s="277">
        <f t="shared" si="317"/>
        <v>12.604000000000003</v>
      </c>
      <c r="U199" s="277"/>
      <c r="V199" s="277">
        <f>SUM(V197:V198)</f>
        <v>5.5116692519939683</v>
      </c>
      <c r="W199" s="277">
        <f t="shared" ref="W199" si="327">SUM(W197:W198)</f>
        <v>3.4625980430805159</v>
      </c>
      <c r="X199" s="277">
        <f t="shared" ref="X199" si="328">SUM(X197:X198)</f>
        <v>3.6207327049254996</v>
      </c>
      <c r="Y199" s="277">
        <f t="shared" si="318"/>
        <v>12.594999999999983</v>
      </c>
    </row>
    <row r="211" spans="1:3">
      <c r="A211" s="237"/>
    </row>
    <row r="212" spans="1:3">
      <c r="C212" s="239"/>
    </row>
    <row r="213" spans="1:3">
      <c r="C213" s="239"/>
    </row>
    <row r="214" spans="1:3">
      <c r="C214" s="239"/>
    </row>
    <row r="215" spans="1:3">
      <c r="C215" s="239"/>
    </row>
    <row r="220" spans="1:3">
      <c r="C220" s="239"/>
    </row>
    <row r="221" spans="1:3">
      <c r="A221" s="238"/>
    </row>
    <row r="222" spans="1:3">
      <c r="A222" s="237"/>
    </row>
    <row r="225" spans="1:3">
      <c r="C225" s="239"/>
    </row>
    <row r="226" spans="1:3">
      <c r="A226" s="237"/>
    </row>
    <row r="227" spans="1:3">
      <c r="C227" s="239"/>
    </row>
    <row r="228" spans="1:3">
      <c r="C228" s="239"/>
    </row>
    <row r="229" spans="1:3">
      <c r="C229" s="239"/>
    </row>
    <row r="231" spans="1:3">
      <c r="A231" s="237"/>
    </row>
    <row r="232" spans="1:3">
      <c r="C232" s="239"/>
    </row>
    <row r="233" spans="1:3">
      <c r="C233" s="239"/>
    </row>
    <row r="234" spans="1:3">
      <c r="C234" s="239"/>
    </row>
    <row r="235" spans="1:3">
      <c r="C235" s="239"/>
    </row>
    <row r="236" spans="1:3">
      <c r="C236" s="239"/>
    </row>
    <row r="237" spans="1:3">
      <c r="C237" s="239"/>
    </row>
    <row r="238" spans="1:3">
      <c r="C238" s="239"/>
    </row>
    <row r="239" spans="1:3">
      <c r="C239" s="239"/>
    </row>
    <row r="240" spans="1:3">
      <c r="A240" s="237"/>
    </row>
    <row r="241" spans="1:3">
      <c r="C241" s="239"/>
    </row>
    <row r="242" spans="1:3">
      <c r="C242" s="239"/>
    </row>
    <row r="243" spans="1:3">
      <c r="A243" s="237"/>
    </row>
    <row r="244" spans="1:3">
      <c r="C244" s="239"/>
    </row>
    <row r="245" spans="1:3">
      <c r="C245" s="239"/>
    </row>
    <row r="246" spans="1:3">
      <c r="C246" s="239"/>
    </row>
    <row r="271" spans="1:3">
      <c r="A271" s="237"/>
    </row>
    <row r="272" spans="1:3">
      <c r="C272" s="239"/>
    </row>
    <row r="273" spans="1:3">
      <c r="C273" s="239"/>
    </row>
    <row r="274" spans="1:3">
      <c r="C274" s="239"/>
    </row>
    <row r="276" spans="1:3">
      <c r="A276" s="237"/>
    </row>
    <row r="277" spans="1:3">
      <c r="C277" s="239"/>
    </row>
    <row r="278" spans="1:3">
      <c r="C278" s="239"/>
    </row>
    <row r="279" spans="1:3">
      <c r="C279" s="239"/>
    </row>
    <row r="280" spans="1:3">
      <c r="C280" s="239"/>
    </row>
    <row r="281" spans="1:3">
      <c r="A281" s="237"/>
    </row>
    <row r="282" spans="1:3">
      <c r="C282" s="239"/>
    </row>
    <row r="283" spans="1:3">
      <c r="C283" s="239"/>
    </row>
    <row r="284" spans="1:3">
      <c r="C284" s="239"/>
    </row>
    <row r="285" spans="1:3">
      <c r="A285" s="238"/>
    </row>
    <row r="286" spans="1:3">
      <c r="A286" s="237"/>
    </row>
    <row r="287" spans="1:3">
      <c r="C287" s="239"/>
    </row>
    <row r="288" spans="1:3">
      <c r="C288" s="239"/>
    </row>
    <row r="289" spans="1:3">
      <c r="C289" s="239"/>
    </row>
    <row r="291" spans="1:3">
      <c r="A291" s="237"/>
    </row>
    <row r="292" spans="1:3">
      <c r="C292" s="239"/>
    </row>
    <row r="293" spans="1:3">
      <c r="C293" s="239"/>
    </row>
    <row r="294" spans="1:3">
      <c r="C294" s="239"/>
    </row>
    <row r="295" spans="1:3">
      <c r="C295" s="239"/>
    </row>
    <row r="296" spans="1:3">
      <c r="A296" s="237"/>
    </row>
    <row r="297" spans="1:3">
      <c r="C297" s="239"/>
    </row>
    <row r="298" spans="1:3">
      <c r="C298" s="239"/>
    </row>
    <row r="299" spans="1:3">
      <c r="A299" s="237"/>
    </row>
    <row r="300" spans="1:3">
      <c r="C300" s="239"/>
    </row>
    <row r="301" spans="1:3">
      <c r="C301" s="239"/>
    </row>
    <row r="302" spans="1:3">
      <c r="C302" s="239"/>
    </row>
    <row r="303" spans="1:3">
      <c r="C303" s="239"/>
    </row>
    <row r="304" spans="1:3">
      <c r="C304" s="239"/>
    </row>
    <row r="305" spans="1:3">
      <c r="C305" s="239"/>
    </row>
    <row r="306" spans="1:3">
      <c r="A306" s="237"/>
      <c r="C306" s="239"/>
    </row>
    <row r="307" spans="1:3">
      <c r="C307" s="239"/>
    </row>
    <row r="308" spans="1:3">
      <c r="C308" s="239"/>
    </row>
    <row r="309" spans="1:3">
      <c r="C309" s="239"/>
    </row>
    <row r="310" spans="1:3">
      <c r="A310" s="238"/>
    </row>
    <row r="311" spans="1:3">
      <c r="A311" s="237"/>
    </row>
    <row r="312" spans="1:3">
      <c r="C312" s="239"/>
    </row>
    <row r="313" spans="1:3">
      <c r="C313" s="239"/>
    </row>
    <row r="314" spans="1:3">
      <c r="C314" s="239"/>
    </row>
    <row r="316" spans="1:3">
      <c r="A316" s="237"/>
    </row>
    <row r="317" spans="1:3">
      <c r="C317" s="239"/>
    </row>
    <row r="318" spans="1:3">
      <c r="C318" s="239"/>
    </row>
    <row r="319" spans="1:3">
      <c r="C319" s="239"/>
    </row>
    <row r="320" spans="1:3">
      <c r="A320" s="238"/>
    </row>
    <row r="321" spans="1:3">
      <c r="A321" s="237"/>
    </row>
    <row r="322" spans="1:3">
      <c r="C322" s="239"/>
    </row>
    <row r="323" spans="1:3">
      <c r="C323" s="239"/>
    </row>
    <row r="324" spans="1:3">
      <c r="C324" s="239"/>
    </row>
    <row r="326" spans="1:3">
      <c r="A326" s="237"/>
    </row>
    <row r="327" spans="1:3">
      <c r="A327" s="237"/>
    </row>
    <row r="328" spans="1:3">
      <c r="C328" s="239"/>
    </row>
    <row r="329" spans="1:3">
      <c r="C329" s="239"/>
    </row>
    <row r="330" spans="1:3">
      <c r="C330" s="239"/>
    </row>
    <row r="332" spans="1:3">
      <c r="A332" s="237"/>
    </row>
    <row r="333" spans="1:3">
      <c r="C333" s="239"/>
    </row>
    <row r="334" spans="1:3">
      <c r="C334" s="239"/>
    </row>
    <row r="335" spans="1:3">
      <c r="C335" s="239"/>
    </row>
    <row r="336" spans="1:3">
      <c r="C336" s="239"/>
    </row>
    <row r="337" spans="1:3">
      <c r="A337" s="237"/>
    </row>
    <row r="338" spans="1:3">
      <c r="C338" s="239"/>
    </row>
    <row r="339" spans="1:3">
      <c r="C339" s="239"/>
    </row>
    <row r="340" spans="1:3">
      <c r="C340" s="239"/>
    </row>
    <row r="341" spans="1:3">
      <c r="A341" s="238"/>
    </row>
    <row r="342" spans="1:3">
      <c r="A342" s="237"/>
    </row>
    <row r="343" spans="1:3">
      <c r="C343" s="239"/>
    </row>
    <row r="344" spans="1:3">
      <c r="C344" s="239"/>
    </row>
    <row r="345" spans="1:3">
      <c r="C345" s="239"/>
    </row>
    <row r="347" spans="1:3">
      <c r="A347" s="237"/>
    </row>
    <row r="348" spans="1:3">
      <c r="C348" s="239"/>
    </row>
    <row r="349" spans="1:3">
      <c r="C349" s="239"/>
    </row>
    <row r="350" spans="1:3">
      <c r="C350" s="239"/>
    </row>
    <row r="351" spans="1:3">
      <c r="C351" s="239"/>
    </row>
    <row r="352" spans="1:3">
      <c r="A352" s="237"/>
    </row>
    <row r="353" spans="1:3">
      <c r="C353" s="239"/>
    </row>
    <row r="354" spans="1:3">
      <c r="C354" s="239"/>
    </row>
    <row r="355" spans="1:3">
      <c r="A355" s="237"/>
    </row>
    <row r="356" spans="1:3">
      <c r="C356" s="239"/>
    </row>
    <row r="357" spans="1:3">
      <c r="C357" s="239"/>
    </row>
    <row r="358" spans="1:3">
      <c r="C358" s="239"/>
    </row>
    <row r="359" spans="1:3">
      <c r="C359" s="239"/>
    </row>
    <row r="361" spans="1:3">
      <c r="A361" s="237"/>
    </row>
    <row r="362" spans="1:3">
      <c r="C362" s="239"/>
    </row>
    <row r="363" spans="1:3">
      <c r="C363" s="239"/>
    </row>
    <row r="364" spans="1:3">
      <c r="C364" s="239"/>
    </row>
    <row r="365" spans="1:3">
      <c r="A365" s="238"/>
    </row>
    <row r="366" spans="1:3">
      <c r="A366" s="237"/>
    </row>
    <row r="367" spans="1:3">
      <c r="C367" s="239"/>
    </row>
    <row r="368" spans="1:3">
      <c r="C368" s="239"/>
    </row>
    <row r="369" spans="1:3">
      <c r="C369" s="239"/>
    </row>
    <row r="371" spans="1:3">
      <c r="A371" s="237"/>
    </row>
    <row r="372" spans="1:3">
      <c r="C372" s="239"/>
    </row>
    <row r="373" spans="1:3">
      <c r="C373" s="239"/>
    </row>
    <row r="374" spans="1:3">
      <c r="C374" s="239"/>
    </row>
    <row r="376" spans="1:3">
      <c r="A376" s="237"/>
    </row>
    <row r="377" spans="1:3">
      <c r="C377" s="239"/>
    </row>
    <row r="378" spans="1:3">
      <c r="C378" s="239"/>
    </row>
    <row r="379" spans="1:3">
      <c r="C379" s="239"/>
    </row>
    <row r="380" spans="1:3">
      <c r="C380" s="239"/>
    </row>
    <row r="381" spans="1:3">
      <c r="A381" s="237"/>
    </row>
    <row r="382" spans="1:3">
      <c r="C382" s="239"/>
    </row>
    <row r="383" spans="1:3">
      <c r="A383" s="237"/>
    </row>
    <row r="384" spans="1:3">
      <c r="C384" s="239"/>
    </row>
    <row r="385" spans="1:3">
      <c r="C385" s="239"/>
    </row>
    <row r="386" spans="1:3">
      <c r="C386" s="239"/>
    </row>
    <row r="388" spans="1:3">
      <c r="A388" s="237"/>
    </row>
    <row r="389" spans="1:3">
      <c r="C389" s="239"/>
    </row>
    <row r="390" spans="1:3">
      <c r="C390" s="239"/>
    </row>
    <row r="391" spans="1:3">
      <c r="C391" s="239"/>
    </row>
    <row r="392" spans="1:3">
      <c r="C392" s="239"/>
    </row>
    <row r="393" spans="1:3">
      <c r="A393" s="237"/>
    </row>
    <row r="394" spans="1:3">
      <c r="C394" s="239"/>
    </row>
    <row r="395" spans="1:3">
      <c r="C395" s="239"/>
    </row>
    <row r="396" spans="1:3">
      <c r="C396" s="239"/>
    </row>
    <row r="397" spans="1:3">
      <c r="A397" s="238"/>
    </row>
    <row r="398" spans="1:3">
      <c r="A398" s="237"/>
    </row>
    <row r="399" spans="1:3">
      <c r="C399" s="239"/>
    </row>
    <row r="400" spans="1:3">
      <c r="C400" s="239"/>
    </row>
    <row r="401" spans="1:3">
      <c r="C401" s="239"/>
    </row>
    <row r="403" spans="1:3">
      <c r="A403" s="237"/>
    </row>
    <row r="404" spans="1:3">
      <c r="C404" s="239"/>
    </row>
    <row r="405" spans="1:3">
      <c r="C405" s="239"/>
    </row>
    <row r="406" spans="1:3">
      <c r="C406" s="239"/>
    </row>
    <row r="407" spans="1:3">
      <c r="C407" s="239"/>
    </row>
    <row r="408" spans="1:3">
      <c r="A408" s="237"/>
    </row>
    <row r="409" spans="1:3">
      <c r="C409" s="239"/>
    </row>
    <row r="410" spans="1:3">
      <c r="C410" s="239"/>
    </row>
    <row r="411" spans="1:3">
      <c r="A411" s="237"/>
    </row>
    <row r="412" spans="1:3">
      <c r="C412" s="239"/>
    </row>
    <row r="413" spans="1:3">
      <c r="C413" s="239"/>
    </row>
    <row r="414" spans="1:3">
      <c r="C414" s="239"/>
    </row>
    <row r="415" spans="1:3">
      <c r="C415" s="239"/>
    </row>
    <row r="416" spans="1:3">
      <c r="C416" s="239"/>
    </row>
    <row r="417" spans="1:3">
      <c r="C417" s="239"/>
    </row>
    <row r="418" spans="1:3">
      <c r="A418" s="237"/>
      <c r="C418" s="239"/>
    </row>
    <row r="419" spans="1:3">
      <c r="C419" s="239"/>
    </row>
    <row r="420" spans="1:3">
      <c r="C420" s="239"/>
    </row>
    <row r="421" spans="1:3">
      <c r="C421" s="239"/>
    </row>
    <row r="422" spans="1:3">
      <c r="A422" s="238"/>
    </row>
    <row r="423" spans="1:3">
      <c r="A423" s="237"/>
    </row>
    <row r="424" spans="1:3">
      <c r="C424" s="239"/>
    </row>
    <row r="425" spans="1:3">
      <c r="C425" s="239"/>
    </row>
    <row r="426" spans="1:3">
      <c r="C426" s="239"/>
    </row>
    <row r="428" spans="1:3">
      <c r="A428" s="237"/>
    </row>
    <row r="429" spans="1:3">
      <c r="C429" s="239"/>
    </row>
    <row r="430" spans="1:3">
      <c r="C430" s="239"/>
    </row>
    <row r="431" spans="1:3">
      <c r="C431" s="239"/>
    </row>
    <row r="432" spans="1:3">
      <c r="A432" s="238"/>
    </row>
    <row r="433" spans="1:3">
      <c r="A433" s="237"/>
    </row>
    <row r="434" spans="1:3">
      <c r="C434" s="239"/>
    </row>
    <row r="435" spans="1:3">
      <c r="C435" s="239"/>
    </row>
    <row r="436" spans="1:3">
      <c r="C436" s="239"/>
    </row>
    <row r="438" spans="1:3">
      <c r="A438" s="237"/>
    </row>
    <row r="439" spans="1:3">
      <c r="A439" s="237"/>
    </row>
    <row r="440" spans="1:3">
      <c r="C440" s="239"/>
    </row>
    <row r="441" spans="1:3">
      <c r="C441" s="239"/>
    </row>
    <row r="442" spans="1:3">
      <c r="C442" s="239"/>
    </row>
    <row r="444" spans="1:3">
      <c r="A444" s="237"/>
    </row>
    <row r="445" spans="1:3">
      <c r="C445" s="239"/>
    </row>
    <row r="446" spans="1:3">
      <c r="C446" s="239"/>
    </row>
    <row r="447" spans="1:3">
      <c r="C447" s="239"/>
    </row>
    <row r="448" spans="1:3">
      <c r="C448" s="239"/>
    </row>
    <row r="449" spans="1:3">
      <c r="A449" s="237"/>
    </row>
    <row r="450" spans="1:3">
      <c r="C450" s="239"/>
    </row>
    <row r="451" spans="1:3">
      <c r="C451" s="239"/>
    </row>
    <row r="452" spans="1:3">
      <c r="C452" s="239"/>
    </row>
    <row r="453" spans="1:3">
      <c r="A453" s="238"/>
    </row>
    <row r="454" spans="1:3">
      <c r="A454" s="237"/>
    </row>
    <row r="455" spans="1:3">
      <c r="C455" s="239"/>
    </row>
    <row r="456" spans="1:3">
      <c r="C456" s="239"/>
    </row>
    <row r="457" spans="1:3">
      <c r="C457" s="239"/>
    </row>
    <row r="459" spans="1:3">
      <c r="A459" s="237"/>
    </row>
    <row r="460" spans="1:3">
      <c r="C460" s="239"/>
    </row>
    <row r="461" spans="1:3">
      <c r="C461" s="239"/>
    </row>
    <row r="462" spans="1:3">
      <c r="C462" s="239"/>
    </row>
    <row r="463" spans="1:3">
      <c r="C463" s="239"/>
    </row>
    <row r="464" spans="1:3">
      <c r="A464" s="237"/>
    </row>
    <row r="465" spans="1:25">
      <c r="C465" s="239"/>
    </row>
    <row r="466" spans="1:25">
      <c r="C466" s="239"/>
    </row>
    <row r="467" spans="1:25">
      <c r="A467" s="237"/>
    </row>
    <row r="468" spans="1:25">
      <c r="C468" s="239"/>
    </row>
    <row r="469" spans="1:25">
      <c r="C469" s="239"/>
    </row>
    <row r="470" spans="1:25">
      <c r="C470" s="239"/>
    </row>
    <row r="471" spans="1:25">
      <c r="A471" s="237"/>
    </row>
    <row r="472" spans="1:25">
      <c r="C472" s="239"/>
    </row>
    <row r="473" spans="1:25">
      <c r="C473" s="239"/>
    </row>
    <row r="474" spans="1:25">
      <c r="A474" s="240"/>
      <c r="B474" s="286"/>
      <c r="C474" s="286"/>
      <c r="D474" s="286"/>
      <c r="E474" s="286"/>
      <c r="F474" s="286"/>
      <c r="G474" s="286"/>
      <c r="H474" s="286"/>
      <c r="I474" s="286"/>
      <c r="J474" s="286"/>
      <c r="K474" s="286"/>
      <c r="L474" s="286"/>
      <c r="M474" s="286"/>
      <c r="N474" s="286"/>
      <c r="O474" s="286"/>
      <c r="P474" s="286"/>
      <c r="Q474" s="286"/>
      <c r="R474" s="286"/>
      <c r="S474" s="286"/>
      <c r="T474" s="286"/>
      <c r="U474" s="286"/>
      <c r="V474" s="286"/>
      <c r="W474" s="286"/>
      <c r="X474" s="286"/>
      <c r="Y474" s="286"/>
    </row>
    <row r="475" spans="1:25">
      <c r="A475" s="238"/>
    </row>
    <row r="476" spans="1:25">
      <c r="A476" s="237"/>
    </row>
    <row r="477" spans="1:25">
      <c r="C477" s="239"/>
    </row>
    <row r="478" spans="1:25">
      <c r="C478" s="239"/>
    </row>
    <row r="479" spans="1:25">
      <c r="A479" s="240"/>
      <c r="B479" s="286"/>
      <c r="C479" s="286"/>
      <c r="D479" s="286"/>
      <c r="E479" s="286"/>
      <c r="F479" s="286"/>
      <c r="G479" s="286"/>
      <c r="H479" s="286"/>
      <c r="I479" s="286"/>
      <c r="J479" s="286"/>
      <c r="K479" s="286"/>
      <c r="L479" s="286"/>
      <c r="M479" s="286"/>
      <c r="N479" s="286"/>
      <c r="O479" s="286"/>
      <c r="P479" s="286"/>
      <c r="Q479" s="286"/>
      <c r="R479" s="286"/>
      <c r="S479" s="286"/>
      <c r="T479" s="286"/>
      <c r="U479" s="286"/>
      <c r="V479" s="286"/>
      <c r="W479" s="286"/>
      <c r="X479" s="286"/>
      <c r="Y479" s="286"/>
    </row>
    <row r="480" spans="1:25">
      <c r="A480" s="238"/>
    </row>
    <row r="481" spans="1:3">
      <c r="A481" s="237"/>
    </row>
    <row r="482" spans="1:3">
      <c r="C482" s="239"/>
    </row>
    <row r="483" spans="1:3">
      <c r="C483" s="239"/>
    </row>
    <row r="484" spans="1:3">
      <c r="C484" s="239"/>
    </row>
    <row r="486" spans="1:3">
      <c r="A486" s="237"/>
    </row>
    <row r="487" spans="1:3">
      <c r="C487" s="239"/>
    </row>
    <row r="488" spans="1:3">
      <c r="C488" s="239"/>
    </row>
    <row r="489" spans="1:3">
      <c r="C489" s="239"/>
    </row>
    <row r="490" spans="1:3">
      <c r="C490" s="239"/>
    </row>
    <row r="491" spans="1:3">
      <c r="A491" s="237"/>
    </row>
    <row r="492" spans="1:3">
      <c r="C492" s="239"/>
    </row>
    <row r="493" spans="1:3">
      <c r="C493" s="239"/>
    </row>
    <row r="494" spans="1:3">
      <c r="C494" s="239"/>
    </row>
    <row r="495" spans="1:3">
      <c r="A495" s="237"/>
    </row>
    <row r="496" spans="1:3">
      <c r="C496" s="239"/>
    </row>
    <row r="497" spans="1:3">
      <c r="C497" s="239"/>
    </row>
    <row r="498" spans="1:3">
      <c r="C498" s="239"/>
    </row>
    <row r="500" spans="1:3">
      <c r="A500" s="237"/>
    </row>
    <row r="501" spans="1:3">
      <c r="C501" s="239"/>
    </row>
    <row r="502" spans="1:3">
      <c r="C502" s="239"/>
    </row>
    <row r="503" spans="1:3">
      <c r="C503" s="239"/>
    </row>
    <row r="504" spans="1:3">
      <c r="C504" s="239"/>
    </row>
    <row r="505" spans="1:3">
      <c r="A505" s="237"/>
    </row>
    <row r="506" spans="1:3">
      <c r="C506" s="239"/>
    </row>
    <row r="507" spans="1:3">
      <c r="C507" s="239"/>
    </row>
    <row r="508" spans="1:3">
      <c r="C508" s="239"/>
    </row>
    <row r="509" spans="1:3">
      <c r="A509" s="238"/>
    </row>
    <row r="510" spans="1:3">
      <c r="A510" s="237"/>
    </row>
    <row r="511" spans="1:3">
      <c r="C511" s="239"/>
    </row>
    <row r="512" spans="1:3">
      <c r="C512" s="239"/>
    </row>
    <row r="513" spans="1:3">
      <c r="C513" s="239"/>
    </row>
    <row r="515" spans="1:3">
      <c r="A515" s="237"/>
    </row>
    <row r="516" spans="1:3">
      <c r="C516" s="239"/>
    </row>
    <row r="517" spans="1:3">
      <c r="C517" s="239"/>
    </row>
    <row r="518" spans="1:3">
      <c r="C518" s="239"/>
    </row>
    <row r="519" spans="1:3">
      <c r="C519" s="239"/>
    </row>
    <row r="520" spans="1:3">
      <c r="A520" s="237"/>
    </row>
    <row r="521" spans="1:3">
      <c r="C521" s="239"/>
    </row>
    <row r="522" spans="1:3">
      <c r="C522" s="239"/>
    </row>
    <row r="523" spans="1:3">
      <c r="A523" s="237"/>
    </row>
    <row r="524" spans="1:3">
      <c r="C524" s="239"/>
    </row>
    <row r="525" spans="1:3">
      <c r="C525" s="239"/>
    </row>
    <row r="526" spans="1:3">
      <c r="C526" s="239"/>
    </row>
    <row r="527" spans="1:3">
      <c r="C527" s="239"/>
    </row>
    <row r="528" spans="1:3">
      <c r="C528" s="239"/>
    </row>
    <row r="529" spans="1:3">
      <c r="C529" s="239"/>
    </row>
    <row r="530" spans="1:3">
      <c r="A530" s="237"/>
      <c r="C530" s="239"/>
    </row>
    <row r="531" spans="1:3">
      <c r="C531" s="239"/>
    </row>
    <row r="532" spans="1:3">
      <c r="C532" s="239"/>
    </row>
    <row r="533" spans="1:3">
      <c r="C533" s="239"/>
    </row>
    <row r="534" spans="1:3">
      <c r="A534" s="238"/>
    </row>
    <row r="535" spans="1:3">
      <c r="A535" s="237"/>
    </row>
    <row r="536" spans="1:3">
      <c r="C536" s="239"/>
    </row>
    <row r="537" spans="1:3">
      <c r="C537" s="239"/>
    </row>
    <row r="538" spans="1:3">
      <c r="C538" s="239"/>
    </row>
    <row r="540" spans="1:3">
      <c r="A540" s="237"/>
    </row>
    <row r="541" spans="1:3">
      <c r="C541" s="239"/>
    </row>
    <row r="542" spans="1:3">
      <c r="C542" s="239"/>
    </row>
    <row r="543" spans="1:3">
      <c r="C543" s="239"/>
    </row>
    <row r="544" spans="1:3">
      <c r="A544" s="238"/>
    </row>
    <row r="545" spans="1:3">
      <c r="A545" s="237"/>
    </row>
    <row r="546" spans="1:3">
      <c r="C546" s="239"/>
    </row>
    <row r="547" spans="1:3">
      <c r="C547" s="239"/>
    </row>
    <row r="548" spans="1:3">
      <c r="C548" s="239"/>
    </row>
    <row r="550" spans="1:3">
      <c r="A550" s="237"/>
    </row>
    <row r="551" spans="1:3">
      <c r="A551" s="237"/>
    </row>
    <row r="552" spans="1:3">
      <c r="C552" s="239"/>
    </row>
    <row r="553" spans="1:3">
      <c r="C553" s="239"/>
    </row>
    <row r="554" spans="1:3">
      <c r="C554" s="239"/>
    </row>
    <row r="556" spans="1:3">
      <c r="A556" s="237"/>
    </row>
    <row r="557" spans="1:3">
      <c r="C557" s="239"/>
    </row>
    <row r="558" spans="1:3">
      <c r="C558" s="239"/>
    </row>
    <row r="559" spans="1:3">
      <c r="C559" s="239"/>
    </row>
    <row r="560" spans="1:3">
      <c r="C560" s="239"/>
    </row>
    <row r="561" spans="1:3">
      <c r="A561" s="237"/>
    </row>
    <row r="562" spans="1:3">
      <c r="C562" s="239"/>
    </row>
    <row r="563" spans="1:3">
      <c r="C563" s="239"/>
    </row>
    <row r="564" spans="1:3">
      <c r="C564" s="239"/>
    </row>
    <row r="565" spans="1:3">
      <c r="A565" s="238"/>
    </row>
    <row r="566" spans="1:3">
      <c r="A566" s="237"/>
    </row>
    <row r="567" spans="1:3">
      <c r="C567" s="239"/>
    </row>
    <row r="568" spans="1:3">
      <c r="C568" s="239"/>
    </row>
    <row r="569" spans="1:3">
      <c r="C569" s="239"/>
    </row>
    <row r="571" spans="1:3">
      <c r="A571" s="237"/>
    </row>
    <row r="572" spans="1:3">
      <c r="C572" s="239"/>
    </row>
    <row r="573" spans="1:3">
      <c r="C573" s="239"/>
    </row>
    <row r="574" spans="1:3">
      <c r="C574" s="239"/>
    </row>
    <row r="575" spans="1:3">
      <c r="C575" s="239"/>
    </row>
    <row r="576" spans="1:3">
      <c r="A576" s="237"/>
    </row>
    <row r="577" spans="1:3">
      <c r="C577" s="239"/>
    </row>
    <row r="578" spans="1:3">
      <c r="C578" s="239"/>
    </row>
    <row r="579" spans="1:3">
      <c r="A579" s="237"/>
    </row>
    <row r="580" spans="1:3">
      <c r="C580" s="239"/>
    </row>
    <row r="581" spans="1:3">
      <c r="C581" s="239"/>
    </row>
    <row r="582" spans="1:3">
      <c r="C582" s="239"/>
    </row>
    <row r="583" spans="1:3">
      <c r="C583" s="239"/>
    </row>
    <row r="585" spans="1:3">
      <c r="A585" s="237"/>
    </row>
    <row r="586" spans="1:3">
      <c r="C586" s="239"/>
    </row>
    <row r="587" spans="1:3">
      <c r="C587" s="239"/>
    </row>
    <row r="588" spans="1:3">
      <c r="C588" s="239"/>
    </row>
    <row r="589" spans="1:3">
      <c r="A589" s="238"/>
    </row>
    <row r="590" spans="1:3">
      <c r="A590" s="237"/>
    </row>
    <row r="591" spans="1:3">
      <c r="C591" s="239"/>
    </row>
    <row r="592" spans="1:3">
      <c r="C592" s="239"/>
    </row>
    <row r="593" spans="1:3">
      <c r="C593" s="239"/>
    </row>
    <row r="595" spans="1:3">
      <c r="A595" s="237"/>
    </row>
    <row r="596" spans="1:3">
      <c r="C596" s="239"/>
    </row>
    <row r="597" spans="1:3">
      <c r="C597" s="239"/>
    </row>
    <row r="598" spans="1:3">
      <c r="C598" s="239"/>
    </row>
    <row r="600" spans="1:3">
      <c r="A600" s="237"/>
    </row>
    <row r="601" spans="1:3">
      <c r="C601" s="239"/>
    </row>
    <row r="602" spans="1:3">
      <c r="C602" s="239"/>
    </row>
    <row r="603" spans="1:3">
      <c r="C603" s="239"/>
    </row>
    <row r="604" spans="1:3">
      <c r="C604" s="239"/>
    </row>
    <row r="605" spans="1:3">
      <c r="A605" s="237"/>
    </row>
    <row r="606" spans="1:3">
      <c r="C606" s="239"/>
    </row>
    <row r="607" spans="1:3">
      <c r="A607" s="237"/>
    </row>
    <row r="608" spans="1:3">
      <c r="C608" s="239"/>
    </row>
    <row r="609" spans="1:3">
      <c r="C609" s="239"/>
    </row>
    <row r="610" spans="1:3">
      <c r="C610" s="239"/>
    </row>
    <row r="612" spans="1:3">
      <c r="A612" s="237"/>
    </row>
    <row r="613" spans="1:3">
      <c r="C613" s="239"/>
    </row>
    <row r="614" spans="1:3">
      <c r="C614" s="239"/>
    </row>
    <row r="615" spans="1:3">
      <c r="C615" s="239"/>
    </row>
    <row r="616" spans="1:3">
      <c r="C616" s="239"/>
    </row>
    <row r="617" spans="1:3">
      <c r="A617" s="237"/>
    </row>
    <row r="618" spans="1:3">
      <c r="C618" s="239"/>
    </row>
    <row r="619" spans="1:3">
      <c r="C619" s="239"/>
    </row>
    <row r="620" spans="1:3">
      <c r="C620" s="239"/>
    </row>
    <row r="621" spans="1:3">
      <c r="A621" s="238"/>
    </row>
    <row r="622" spans="1:3">
      <c r="A622" s="237"/>
    </row>
    <row r="623" spans="1:3">
      <c r="C623" s="239"/>
    </row>
    <row r="624" spans="1:3">
      <c r="C624" s="239"/>
    </row>
    <row r="625" spans="1:3">
      <c r="C625" s="239"/>
    </row>
    <row r="627" spans="1:3">
      <c r="A627" s="237"/>
    </row>
    <row r="628" spans="1:3">
      <c r="C628" s="239"/>
    </row>
    <row r="629" spans="1:3">
      <c r="C629" s="239"/>
    </row>
    <row r="630" spans="1:3">
      <c r="C630" s="239"/>
    </row>
    <row r="631" spans="1:3">
      <c r="C631" s="239"/>
    </row>
    <row r="632" spans="1:3">
      <c r="A632" s="237"/>
    </row>
    <row r="633" spans="1:3">
      <c r="C633" s="239"/>
    </row>
    <row r="634" spans="1:3">
      <c r="C634" s="239"/>
    </row>
    <row r="635" spans="1:3">
      <c r="A635" s="237"/>
    </row>
    <row r="636" spans="1:3">
      <c r="C636" s="239"/>
    </row>
    <row r="637" spans="1:3">
      <c r="C637" s="239"/>
    </row>
    <row r="638" spans="1:3">
      <c r="C638" s="239"/>
    </row>
    <row r="639" spans="1:3">
      <c r="C639" s="239"/>
    </row>
    <row r="640" spans="1:3">
      <c r="C640" s="239"/>
    </row>
    <row r="641" spans="1:3">
      <c r="C641" s="239"/>
    </row>
    <row r="642" spans="1:3">
      <c r="A642" s="237"/>
      <c r="C642" s="239"/>
    </row>
    <row r="643" spans="1:3">
      <c r="C643" s="239"/>
    </row>
    <row r="644" spans="1:3">
      <c r="C644" s="239"/>
    </row>
    <row r="645" spans="1:3">
      <c r="C645" s="239"/>
    </row>
    <row r="646" spans="1:3">
      <c r="A646" s="238"/>
    </row>
    <row r="647" spans="1:3">
      <c r="A647" s="237"/>
    </row>
    <row r="648" spans="1:3">
      <c r="C648" s="239"/>
    </row>
    <row r="649" spans="1:3">
      <c r="C649" s="239"/>
    </row>
    <row r="650" spans="1:3">
      <c r="C650" s="239"/>
    </row>
    <row r="652" spans="1:3">
      <c r="A652" s="237"/>
    </row>
    <row r="653" spans="1:3">
      <c r="C653" s="239"/>
    </row>
    <row r="654" spans="1:3">
      <c r="C654" s="239"/>
    </row>
    <row r="655" spans="1:3">
      <c r="C655" s="239"/>
    </row>
    <row r="656" spans="1:3">
      <c r="A656" s="238"/>
    </row>
    <row r="657" spans="1:3">
      <c r="A657" s="237"/>
    </row>
    <row r="658" spans="1:3">
      <c r="C658" s="239"/>
    </row>
    <row r="659" spans="1:3">
      <c r="C659" s="239"/>
    </row>
    <row r="660" spans="1:3">
      <c r="C660" s="239"/>
    </row>
    <row r="662" spans="1:3">
      <c r="A662" s="237"/>
    </row>
    <row r="663" spans="1:3">
      <c r="A663" s="237"/>
    </row>
    <row r="664" spans="1:3">
      <c r="C664" s="239"/>
    </row>
    <row r="665" spans="1:3">
      <c r="C665" s="239"/>
    </row>
    <row r="666" spans="1:3">
      <c r="C666" s="239"/>
    </row>
    <row r="668" spans="1:3">
      <c r="A668" s="237"/>
    </row>
    <row r="669" spans="1:3">
      <c r="C669" s="239"/>
    </row>
    <row r="670" spans="1:3">
      <c r="C670" s="239"/>
    </row>
    <row r="671" spans="1:3">
      <c r="C671" s="239"/>
    </row>
    <row r="672" spans="1:3">
      <c r="C672" s="239"/>
    </row>
    <row r="673" spans="1:3">
      <c r="A673" s="237"/>
    </row>
    <row r="674" spans="1:3">
      <c r="C674" s="239"/>
    </row>
    <row r="675" spans="1:3">
      <c r="C675" s="239"/>
    </row>
    <row r="676" spans="1:3">
      <c r="C676" s="239"/>
    </row>
    <row r="677" spans="1:3">
      <c r="A677" s="238"/>
    </row>
    <row r="678" spans="1:3">
      <c r="A678" s="237"/>
    </row>
    <row r="679" spans="1:3">
      <c r="C679" s="239"/>
    </row>
    <row r="680" spans="1:3">
      <c r="C680" s="239"/>
    </row>
    <row r="681" spans="1:3">
      <c r="C681" s="239"/>
    </row>
    <row r="683" spans="1:3">
      <c r="A683" s="237"/>
    </row>
    <row r="684" spans="1:3">
      <c r="C684" s="239"/>
    </row>
    <row r="685" spans="1:3">
      <c r="C685" s="239"/>
    </row>
    <row r="686" spans="1:3">
      <c r="C686" s="239"/>
    </row>
    <row r="687" spans="1:3">
      <c r="C687" s="239"/>
    </row>
    <row r="688" spans="1:3">
      <c r="A688" s="237"/>
    </row>
    <row r="689" spans="1:3">
      <c r="C689" s="239"/>
    </row>
    <row r="690" spans="1:3">
      <c r="C690" s="239"/>
    </row>
    <row r="691" spans="1:3">
      <c r="A691" s="237"/>
    </row>
    <row r="692" spans="1:3">
      <c r="C692" s="239"/>
    </row>
    <row r="693" spans="1:3">
      <c r="C693" s="239"/>
    </row>
    <row r="694" spans="1:3">
      <c r="C694" s="239"/>
    </row>
  </sheetData>
  <mergeCells count="110"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/>
  <cols>
    <col min="1" max="1" width="11" style="63" bestFit="1" customWidth="1"/>
    <col min="2" max="9" width="9.140625" style="63"/>
    <col min="10" max="10" width="17.5703125" style="63" customWidth="1"/>
    <col min="11" max="11" width="8.28515625" style="63" customWidth="1"/>
    <col min="12" max="12" width="28.140625" customWidth="1"/>
    <col min="13" max="14" width="10.140625" customWidth="1"/>
  </cols>
  <sheetData>
    <row r="1" spans="1:16" ht="15.75">
      <c r="A1" s="62" t="str">
        <f>CONCATENATE("Industry Figure 1  Growth in Employment by Industry Group (SIC 2007), ",M6," and ",N6,", ",Info!B5)</f>
        <v>Industry Figure 1  Growth in Employment by Industry Group (SIC 2007), 2015-2020 and 2020-2035, Black Country</v>
      </c>
    </row>
    <row r="2" spans="1:16">
      <c r="A2" s="159" t="s">
        <v>126</v>
      </c>
    </row>
    <row r="3" spans="1:16">
      <c r="L3" s="36" t="s">
        <v>144</v>
      </c>
    </row>
    <row r="5" spans="1:16">
      <c r="L5" s="25" t="s">
        <v>145</v>
      </c>
    </row>
    <row r="6" spans="1:16">
      <c r="L6" s="65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>
      <c r="L7" s="1" t="str">
        <f>'Ind T4'!A83</f>
        <v>All industries</v>
      </c>
      <c r="M7">
        <f>'Ind T4'!B122</f>
        <v>-0.37337526450474945</v>
      </c>
      <c r="N7">
        <f>'Ind T4'!C122</f>
        <v>0.33785827979149197</v>
      </c>
    </row>
    <row r="8" spans="1:16">
      <c r="L8" s="65"/>
    </row>
    <row r="9" spans="1:16">
      <c r="L9" s="65" t="str">
        <f>'Ind T4'!A81</f>
        <v>Health and social work</v>
      </c>
      <c r="M9">
        <f>'Ind T4'!B120</f>
        <v>3.3504114333352319</v>
      </c>
      <c r="N9">
        <f>'Ind T4'!C120</f>
        <v>0.82663545718058007</v>
      </c>
    </row>
    <row r="10" spans="1:16">
      <c r="L10" s="65" t="str">
        <f>'Ind T4'!A80</f>
        <v>Education</v>
      </c>
      <c r="M10">
        <f>'Ind T4'!B119</f>
        <v>0.11266705941843647</v>
      </c>
      <c r="N10">
        <f>'Ind T4'!C119</f>
        <v>0.58235672652706683</v>
      </c>
    </row>
    <row r="11" spans="1:16">
      <c r="L11" s="65" t="str">
        <f>'Ind T4'!A79</f>
        <v>Public admin. and defence</v>
      </c>
      <c r="M11">
        <f>'Ind T4'!B118</f>
        <v>-0.91907005465536873</v>
      </c>
      <c r="N11">
        <f>'Ind T4'!C118</f>
        <v>0.40041978615537044</v>
      </c>
    </row>
    <row r="12" spans="1:16">
      <c r="L12" s="1" t="str">
        <f>CONCATENATE("[",'Ind T4'!A78,"]")</f>
        <v>[Non-marketed services]</v>
      </c>
      <c r="M12">
        <f>'Ind T4'!B117</f>
        <v>1.659022200727156</v>
      </c>
      <c r="N12">
        <f>'Ind T4'!C117</f>
        <v>0.69566210813678531</v>
      </c>
    </row>
    <row r="13" spans="1:16">
      <c r="L13" s="65"/>
    </row>
    <row r="14" spans="1:16">
      <c r="L14" s="65" t="str">
        <f>'Ind T4'!A76</f>
        <v>Other services</v>
      </c>
      <c r="M14" s="65">
        <f>'Ind T4'!B115</f>
        <v>-4.6461918152839843</v>
      </c>
      <c r="N14" s="65">
        <f>'Ind T4'!C115</f>
        <v>-0.18359253748903015</v>
      </c>
    </row>
    <row r="15" spans="1:16">
      <c r="L15" s="65" t="str">
        <f>'Ind T4'!A75</f>
        <v>Arts and entertainment</v>
      </c>
      <c r="M15" s="65">
        <f>'Ind T4'!B114</f>
        <v>1.3439505911660987E-2</v>
      </c>
      <c r="N15" s="65">
        <f>'Ind T4'!C114</f>
        <v>2.4028950014032269E-2</v>
      </c>
    </row>
    <row r="16" spans="1:16">
      <c r="L16" s="65" t="str">
        <f>'Ind T4'!A74</f>
        <v>Support services</v>
      </c>
      <c r="M16" s="65">
        <f>'Ind T4'!B113</f>
        <v>-4.3794892507492804</v>
      </c>
      <c r="N16" s="65">
        <f>'Ind T4'!C113</f>
        <v>0.69374342982506665</v>
      </c>
    </row>
    <row r="17" spans="12:14">
      <c r="L17" s="65" t="str">
        <f>'Ind T4'!A73</f>
        <v>Professional services</v>
      </c>
      <c r="M17" s="65">
        <f>'Ind T4'!B112</f>
        <v>-2.8612738674501315</v>
      </c>
      <c r="N17" s="65">
        <f>'Ind T4'!C112</f>
        <v>0.56082936389392213</v>
      </c>
    </row>
    <row r="18" spans="12:14">
      <c r="L18" s="65" t="str">
        <f>'Ind T4'!A72</f>
        <v>Real estate</v>
      </c>
      <c r="M18" s="65">
        <f>'Ind T4'!B111</f>
        <v>5.8041699319459683</v>
      </c>
      <c r="N18" s="65">
        <f>'Ind T4'!C111</f>
        <v>0.62192110201610973</v>
      </c>
    </row>
    <row r="19" spans="12:14">
      <c r="L19" t="str">
        <f>'Ind T4'!A71</f>
        <v>Finance and insurance</v>
      </c>
      <c r="M19">
        <f>'Ind T4'!B110</f>
        <v>0.43075771892968628</v>
      </c>
      <c r="N19">
        <f>'Ind T4'!C110</f>
        <v>-0.25148190668479176</v>
      </c>
    </row>
    <row r="20" spans="12:14">
      <c r="L20" t="str">
        <f>'Ind T4'!A70</f>
        <v>Information technology</v>
      </c>
      <c r="M20">
        <f>'Ind T4'!B109</f>
        <v>1.004398233108228</v>
      </c>
      <c r="N20">
        <f>'Ind T4'!C109</f>
        <v>0.48468443215556878</v>
      </c>
    </row>
    <row r="21" spans="12:14">
      <c r="L21" t="str">
        <f>'Ind T4'!A69</f>
        <v>Media</v>
      </c>
      <c r="M21">
        <f>'Ind T4'!B108</f>
        <v>4.317919695720529</v>
      </c>
      <c r="N21">
        <f>'Ind T4'!C108</f>
        <v>-1.2649425067379205E-2</v>
      </c>
    </row>
    <row r="22" spans="12:14">
      <c r="L22" s="1" t="str">
        <f>CONCATENATE("[",'Ind T4'!A68,"]")</f>
        <v>[Business and other services]</v>
      </c>
      <c r="M22">
        <f>'Ind T4'!B107</f>
        <v>-2.0137012202789295</v>
      </c>
      <c r="N22">
        <f>'Ind T4'!C107</f>
        <v>0.37837864603122995</v>
      </c>
    </row>
    <row r="23" spans="12:14">
      <c r="L23" s="65"/>
    </row>
    <row r="24" spans="12:14">
      <c r="L24" s="65" t="str">
        <f>'Ind T4'!A66</f>
        <v>Accommodation and food</v>
      </c>
      <c r="M24">
        <f>'Ind T4'!B105</f>
        <v>2.4315646878178221</v>
      </c>
      <c r="N24">
        <f>'Ind T4'!C105</f>
        <v>1.1564792740077046</v>
      </c>
    </row>
    <row r="25" spans="12:14">
      <c r="L25" s="65" t="str">
        <f>'Ind T4'!A65</f>
        <v>Transport and storage</v>
      </c>
      <c r="M25">
        <f>'Ind T4'!B104</f>
        <v>-0.30613985664941223</v>
      </c>
      <c r="N25">
        <f>'Ind T4'!C104</f>
        <v>0.91311881014868312</v>
      </c>
    </row>
    <row r="26" spans="12:14">
      <c r="L26" s="65" t="str">
        <f>'Ind T4'!A64</f>
        <v>Wholesale and retail trade</v>
      </c>
      <c r="M26">
        <f>'Ind T4'!B103</f>
        <v>-1.1087550815140457</v>
      </c>
      <c r="N26">
        <f>'Ind T4'!C103</f>
        <v>0.13417283261338842</v>
      </c>
    </row>
    <row r="27" spans="12:14">
      <c r="L27" s="1" t="str">
        <f>CONCATENATE("[",'Ind T4'!A63,"]")</f>
        <v>[Trade, accomod. and transport]</v>
      </c>
      <c r="M27">
        <f>'Ind T4'!B102</f>
        <v>-0.36967947018967662</v>
      </c>
      <c r="N27">
        <f>'Ind T4'!C102</f>
        <v>0.49954649968431131</v>
      </c>
    </row>
    <row r="28" spans="12:14">
      <c r="L28" s="65"/>
    </row>
    <row r="29" spans="12:14">
      <c r="L29" s="1" t="str">
        <f>CONCATENATE("[",'Ind T4'!A61,"]")</f>
        <v>[Construction]</v>
      </c>
      <c r="M29">
        <f>'Ind T4'!B100</f>
        <v>3.1077352720810802</v>
      </c>
      <c r="N29">
        <f>'Ind T4'!C100</f>
        <v>7.7920169124223726E-2</v>
      </c>
    </row>
    <row r="30" spans="12:14">
      <c r="L30" s="65"/>
    </row>
    <row r="31" spans="12:14">
      <c r="L31" s="65" t="str">
        <f>'Ind T4'!A59</f>
        <v>Rest of manufacturing</v>
      </c>
      <c r="M31">
        <f>'Ind T4'!B98</f>
        <v>-1.7105723243751147</v>
      </c>
      <c r="N31">
        <f>'Ind T4'!C98</f>
        <v>-0.92945995550866023</v>
      </c>
    </row>
    <row r="32" spans="12:14">
      <c r="L32" s="65" t="str">
        <f>'Ind T4'!A58</f>
        <v>Engineering</v>
      </c>
      <c r="M32">
        <f>'Ind T4'!B97</f>
        <v>1.2745642296062787</v>
      </c>
      <c r="N32">
        <f>'Ind T4'!C97</f>
        <v>-0.29741418690557575</v>
      </c>
    </row>
    <row r="33" spans="12:14">
      <c r="L33" s="65" t="str">
        <f>'Ind T4'!A57</f>
        <v>Food drink and tobacco</v>
      </c>
      <c r="M33">
        <f>'Ind T4'!B96</f>
        <v>-2.1280238829763709</v>
      </c>
      <c r="N33">
        <f>'Ind T4'!C96</f>
        <v>-0.11526556315363257</v>
      </c>
    </row>
    <row r="34" spans="12:14">
      <c r="L34" s="1" t="str">
        <f>CONCATENATE("[",'Ind T4'!A56,"]")</f>
        <v>[Manufacturing]</v>
      </c>
      <c r="M34">
        <f>'Ind T4'!B95</f>
        <v>-1.4328664326009655</v>
      </c>
      <c r="N34">
        <f>'Ind T4'!C95</f>
        <v>-0.76949802181702776</v>
      </c>
    </row>
    <row r="35" spans="12:14">
      <c r="L35" s="65"/>
    </row>
    <row r="36" spans="12:14">
      <c r="L36" s="65" t="str">
        <f>'Ind T4'!A54</f>
        <v>Water and sewerage</v>
      </c>
      <c r="M36">
        <f>'Ind T4'!B93</f>
        <v>-2.571150201875505</v>
      </c>
      <c r="N36">
        <f>'Ind T4'!C93</f>
        <v>0.41708541045613057</v>
      </c>
    </row>
    <row r="37" spans="12:14">
      <c r="L37" s="65" t="str">
        <f>'Ind T4'!A53</f>
        <v>Electricity and gas</v>
      </c>
      <c r="M37">
        <f>'Ind T4'!B92</f>
        <v>-17.715115116248835</v>
      </c>
      <c r="N37">
        <f>'Ind T4'!C92</f>
        <v>-0.53724519762726741</v>
      </c>
    </row>
    <row r="38" spans="12:14">
      <c r="L38" s="65" t="str">
        <f>'Ind T4'!A52</f>
        <v>Mining and quarrying</v>
      </c>
      <c r="M38">
        <f>'Ind T4'!B91</f>
        <v>-0.87953363884922808</v>
      </c>
      <c r="N38">
        <f>'Ind T4'!C91</f>
        <v>-5.8253698205932185</v>
      </c>
    </row>
    <row r="39" spans="12:14">
      <c r="L39" s="366" t="str">
        <f>'Ind T4'!A51</f>
        <v>Agriculture</v>
      </c>
      <c r="M39">
        <f>'Ind T4'!B90</f>
        <v>-17.766261616063073</v>
      </c>
      <c r="N39">
        <f>'Ind T4'!C90</f>
        <v>0.5742402872390695</v>
      </c>
    </row>
    <row r="40" spans="12:14">
      <c r="L40" s="1" t="str">
        <f>CONCATENATE("[",'Ind T4'!A50,"]")</f>
        <v>[Primary sector and utilities]</v>
      </c>
      <c r="M40">
        <f>'Ind T4'!B89</f>
        <v>-11.097776560099105</v>
      </c>
      <c r="N40">
        <f>'Ind T4'!C89</f>
        <v>9.4021859132298324E-2</v>
      </c>
    </row>
    <row r="43" spans="12:14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/>
  <cols>
    <col min="1" max="1" width="17" style="63" customWidth="1"/>
    <col min="2" max="10" width="9.140625" style="63"/>
    <col min="11" max="11" width="24.5703125" style="63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>
      <c r="A1" s="62" t="str">
        <f>CONCATENATE("Industry Figure 2  Employment by Industry (SIC 2007), ",$M$2,"-",$O$2,", ",Info!B5)</f>
        <v>Industry Figure 2  Employment by Industry (SIC 2007), 2010-2035, Black Country</v>
      </c>
      <c r="L1" s="36"/>
    </row>
    <row r="2" spans="1:96">
      <c r="A2" s="159" t="s">
        <v>126</v>
      </c>
      <c r="L2" s="16" t="s">
        <v>146</v>
      </c>
      <c r="M2" s="38">
        <f>M4</f>
        <v>2010</v>
      </c>
      <c r="N2" s="37" t="s">
        <v>147</v>
      </c>
      <c r="O2" s="38">
        <f>MAX(Q4:BQ4)</f>
        <v>2035</v>
      </c>
    </row>
    <row r="3" spans="1:96">
      <c r="L3" s="16"/>
      <c r="M3" s="16"/>
      <c r="N3" s="37"/>
      <c r="O3" s="16"/>
    </row>
    <row r="4" spans="1:96">
      <c r="L4" s="65"/>
      <c r="M4" s="38">
        <v>2010</v>
      </c>
      <c r="N4" s="38">
        <v>2011</v>
      </c>
      <c r="O4" s="38">
        <v>2012</v>
      </c>
      <c r="P4" s="38">
        <v>2013</v>
      </c>
      <c r="Q4" s="38">
        <v>2014</v>
      </c>
      <c r="R4" s="38">
        <v>2015</v>
      </c>
      <c r="S4" s="38">
        <v>2016</v>
      </c>
      <c r="T4" s="38">
        <v>2017</v>
      </c>
      <c r="U4" s="38">
        <v>2018</v>
      </c>
      <c r="V4" s="38">
        <v>2019</v>
      </c>
      <c r="W4" s="38">
        <v>2020</v>
      </c>
      <c r="X4" s="38">
        <v>2021</v>
      </c>
      <c r="Y4" s="38">
        <v>2022</v>
      </c>
      <c r="Z4" s="38">
        <v>2023</v>
      </c>
      <c r="AA4" s="38">
        <v>2024</v>
      </c>
      <c r="AB4" s="38">
        <v>2025</v>
      </c>
      <c r="AC4" s="38">
        <v>2026</v>
      </c>
      <c r="AD4" s="38">
        <v>2027</v>
      </c>
      <c r="AE4" s="38">
        <v>2028</v>
      </c>
      <c r="AF4" s="38">
        <v>2029</v>
      </c>
      <c r="AG4" s="38">
        <v>2030</v>
      </c>
      <c r="AH4" s="38">
        <v>2031</v>
      </c>
      <c r="AI4" s="38">
        <v>2032</v>
      </c>
      <c r="AJ4" s="38">
        <v>2033</v>
      </c>
      <c r="AK4" s="38">
        <v>2034</v>
      </c>
      <c r="AL4" s="38">
        <v>2035</v>
      </c>
      <c r="AM4" s="38">
        <f t="shared" ref="AM4" si="0">BP4</f>
        <v>0</v>
      </c>
      <c r="AN4" s="10"/>
      <c r="AO4" s="10"/>
      <c r="AP4" s="10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10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</row>
    <row r="5" spans="1:96">
      <c r="L5" s="1" t="str">
        <f>'Ind T4'!A7</f>
        <v>Primary sector and utilities</v>
      </c>
      <c r="M5" s="11">
        <f>SUM(M6:M9)</f>
        <v>13.652000000000008</v>
      </c>
      <c r="N5" s="11">
        <f t="shared" ref="N5:AL5" si="1">SUM(N6:N9)</f>
        <v>11.888999999999996</v>
      </c>
      <c r="O5" s="11">
        <f t="shared" si="1"/>
        <v>12.679000000000009</v>
      </c>
      <c r="P5" s="11">
        <f t="shared" si="1"/>
        <v>9.8109999999999999</v>
      </c>
      <c r="Q5" s="11">
        <f t="shared" si="1"/>
        <v>11.135999999999999</v>
      </c>
      <c r="R5" s="11">
        <f t="shared" si="1"/>
        <v>12.683999999999983</v>
      </c>
      <c r="S5" s="11">
        <f t="shared" si="1"/>
        <v>11.487999999999989</v>
      </c>
      <c r="T5" s="11">
        <f t="shared" si="1"/>
        <v>11.597000000000008</v>
      </c>
      <c r="U5" s="11">
        <f t="shared" si="1"/>
        <v>9.919999999999991</v>
      </c>
      <c r="V5" s="11">
        <f t="shared" si="1"/>
        <v>8.5460000000000029</v>
      </c>
      <c r="W5" s="11">
        <f t="shared" si="1"/>
        <v>7.0439999999999952</v>
      </c>
      <c r="X5" s="11">
        <f t="shared" si="1"/>
        <v>6.9100000000000019</v>
      </c>
      <c r="Y5" s="11">
        <f t="shared" si="1"/>
        <v>6.8389999999999933</v>
      </c>
      <c r="Z5" s="11">
        <f t="shared" si="1"/>
        <v>6.8740000000000094</v>
      </c>
      <c r="AA5" s="11">
        <f t="shared" si="1"/>
        <v>7.0260000000000042</v>
      </c>
      <c r="AB5" s="11">
        <f t="shared" si="1"/>
        <v>7.0899999999999981</v>
      </c>
      <c r="AC5" s="11">
        <f t="shared" si="1"/>
        <v>7.1320000000000032</v>
      </c>
      <c r="AD5" s="11">
        <f t="shared" si="1"/>
        <v>7.1539999999999901</v>
      </c>
      <c r="AE5" s="11">
        <f t="shared" si="1"/>
        <v>7.1630000000000065</v>
      </c>
      <c r="AF5" s="11">
        <f t="shared" si="1"/>
        <v>7.1640000000000166</v>
      </c>
      <c r="AG5" s="11">
        <f t="shared" si="1"/>
        <v>7.1639999999999935</v>
      </c>
      <c r="AH5" s="11">
        <f t="shared" si="1"/>
        <v>7.163000000000002</v>
      </c>
      <c r="AI5" s="11">
        <f t="shared" si="1"/>
        <v>7.1600000000000072</v>
      </c>
      <c r="AJ5" s="11">
        <f t="shared" si="1"/>
        <v>7.1549999999999976</v>
      </c>
      <c r="AK5" s="11">
        <f t="shared" si="1"/>
        <v>7.150000000000003</v>
      </c>
      <c r="AL5" s="11">
        <f t="shared" si="1"/>
        <v>7.1439999999999904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>
      <c r="L6" s="65" t="str">
        <f>'Ind T4'!A8</f>
        <v>Agriculture</v>
      </c>
      <c r="M6" s="11">
        <v>3.7519999999999949</v>
      </c>
      <c r="N6" s="11">
        <v>2.9549999999999996</v>
      </c>
      <c r="O6" s="11">
        <v>3.4950000000000019</v>
      </c>
      <c r="P6" s="11">
        <v>1.8159999999999972</v>
      </c>
      <c r="Q6" s="11">
        <v>2.237000000000001</v>
      </c>
      <c r="R6" s="11">
        <v>2.9649999999999994</v>
      </c>
      <c r="S6" s="11">
        <v>2.134999999999998</v>
      </c>
      <c r="T6" s="11">
        <v>1.8659999999999966</v>
      </c>
      <c r="U6" s="11">
        <v>3.2789999999999977</v>
      </c>
      <c r="V6" s="11">
        <v>2.2860000000000018</v>
      </c>
      <c r="W6" s="11">
        <v>1.1150000000000004</v>
      </c>
      <c r="X6" s="11">
        <v>1.1379999999999997</v>
      </c>
      <c r="Y6" s="11">
        <v>1.1599999999999979</v>
      </c>
      <c r="Z6" s="11">
        <v>1.1909999999999987</v>
      </c>
      <c r="AA6" s="11">
        <v>1.2129999999999992</v>
      </c>
      <c r="AB6" s="11">
        <v>1.2120000000000004</v>
      </c>
      <c r="AC6" s="11">
        <v>1.2130000000000012</v>
      </c>
      <c r="AD6" s="11">
        <v>1.2119999999999982</v>
      </c>
      <c r="AE6" s="11">
        <v>1.2119999999999995</v>
      </c>
      <c r="AF6" s="11">
        <v>1.2100000000000029</v>
      </c>
      <c r="AG6" s="11">
        <v>1.2119999999999971</v>
      </c>
      <c r="AH6" s="11">
        <v>1.213000000000001</v>
      </c>
      <c r="AI6" s="11">
        <v>1.2140000000000029</v>
      </c>
      <c r="AJ6" s="11">
        <v>1.2150000000000016</v>
      </c>
      <c r="AK6" s="150">
        <v>1.2150000000000003</v>
      </c>
      <c r="AL6" s="11">
        <v>1.214999999999997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>
      <c r="L7" s="65" t="str">
        <f>'Ind T4'!A9</f>
        <v>Mining and quarrying</v>
      </c>
      <c r="M7" s="11">
        <v>5.7999999999999989E-2</v>
      </c>
      <c r="N7" s="11">
        <v>2.199999999999995E-2</v>
      </c>
      <c r="O7" s="11">
        <v>0.37600000000000039</v>
      </c>
      <c r="P7" s="11">
        <v>0</v>
      </c>
      <c r="Q7" s="11">
        <v>1.0000000000000002E-2</v>
      </c>
      <c r="R7" s="11">
        <v>0.16200000000000025</v>
      </c>
      <c r="S7" s="11">
        <v>0</v>
      </c>
      <c r="T7" s="11">
        <v>2.3999999999999942E-2</v>
      </c>
      <c r="U7" s="11">
        <v>0.23600000000000002</v>
      </c>
      <c r="V7" s="11">
        <v>0.14499999999999991</v>
      </c>
      <c r="W7" s="11">
        <v>0.15500000000000022</v>
      </c>
      <c r="X7" s="11">
        <v>0.14199999999999968</v>
      </c>
      <c r="Y7" s="11">
        <v>0.13600000000000037</v>
      </c>
      <c r="Z7" s="11">
        <v>0.126</v>
      </c>
      <c r="AA7" s="11">
        <v>0.11700000000000006</v>
      </c>
      <c r="AB7" s="11">
        <v>0.10899999999999997</v>
      </c>
      <c r="AC7" s="11">
        <v>0.10200000000000015</v>
      </c>
      <c r="AD7" s="11">
        <v>9.5999999999999808E-2</v>
      </c>
      <c r="AE7" s="11">
        <v>9.0999999999999928E-2</v>
      </c>
      <c r="AF7" s="11">
        <v>8.5999999999999993E-2</v>
      </c>
      <c r="AG7" s="11">
        <v>8.0999999999999767E-2</v>
      </c>
      <c r="AH7" s="11">
        <v>7.7000000000000124E-2</v>
      </c>
      <c r="AI7" s="11">
        <v>7.3000000000000093E-2</v>
      </c>
      <c r="AJ7" s="11">
        <v>6.9000000000000117E-2</v>
      </c>
      <c r="AK7" s="150">
        <v>6.5999999999999989E-2</v>
      </c>
      <c r="AL7" s="11">
        <v>6.2999999999999945E-2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>
      <c r="L8" s="65" t="str">
        <f>'Ind T4'!A10</f>
        <v>Electricity and gas</v>
      </c>
      <c r="M8" s="11">
        <v>5.7300000000000155</v>
      </c>
      <c r="N8" s="11">
        <v>5.0710000000000006</v>
      </c>
      <c r="O8" s="11">
        <v>5.1229999999999993</v>
      </c>
      <c r="P8" s="11">
        <v>5.0430000000000064</v>
      </c>
      <c r="Q8" s="11">
        <v>4.8650000000000029</v>
      </c>
      <c r="R8" s="11">
        <v>5.225000000000005</v>
      </c>
      <c r="S8" s="11">
        <v>5.6549999999999923</v>
      </c>
      <c r="T8" s="11">
        <v>5.4660000000000153</v>
      </c>
      <c r="U8" s="11">
        <v>2.0090000000000008</v>
      </c>
      <c r="V8" s="11">
        <v>1.7090000000000003</v>
      </c>
      <c r="W8" s="11">
        <v>1.9709999999999988</v>
      </c>
      <c r="X8" s="11">
        <v>1.9319999999999993</v>
      </c>
      <c r="Y8" s="11">
        <v>1.8809999999999987</v>
      </c>
      <c r="Z8" s="11">
        <v>1.8669999999999993</v>
      </c>
      <c r="AA8" s="11">
        <v>1.860999999999998</v>
      </c>
      <c r="AB8" s="11">
        <v>1.8559999999999983</v>
      </c>
      <c r="AC8" s="11">
        <v>1.8499999999999959</v>
      </c>
      <c r="AD8" s="11">
        <v>1.8449999999999964</v>
      </c>
      <c r="AE8" s="11">
        <v>1.8389999999999975</v>
      </c>
      <c r="AF8" s="11">
        <v>1.8349999999999949</v>
      </c>
      <c r="AG8" s="11">
        <v>1.8310000000000013</v>
      </c>
      <c r="AH8" s="11">
        <v>1.828000000000003</v>
      </c>
      <c r="AI8" s="11">
        <v>1.826000000000001</v>
      </c>
      <c r="AJ8" s="11">
        <v>1.8229999999999993</v>
      </c>
      <c r="AK8" s="150">
        <v>1.8199999999999996</v>
      </c>
      <c r="AL8" s="11">
        <v>1.8180000000000041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>
      <c r="L9" s="65" t="str">
        <f>'Ind T4'!A11</f>
        <v>Water and sewerage</v>
      </c>
      <c r="M9" s="11">
        <v>4.1119999999999974</v>
      </c>
      <c r="N9" s="11">
        <v>3.8409999999999953</v>
      </c>
      <c r="O9" s="11">
        <v>3.6850000000000072</v>
      </c>
      <c r="P9" s="11">
        <v>2.9519999999999964</v>
      </c>
      <c r="Q9" s="11">
        <v>4.0239999999999956</v>
      </c>
      <c r="R9" s="11">
        <v>4.3319999999999785</v>
      </c>
      <c r="S9" s="11">
        <v>3.6979999999999982</v>
      </c>
      <c r="T9" s="11">
        <v>4.2409999999999961</v>
      </c>
      <c r="U9" s="11">
        <v>4.3959999999999928</v>
      </c>
      <c r="V9" s="11">
        <v>4.4060000000000006</v>
      </c>
      <c r="W9" s="11">
        <v>3.8029999999999959</v>
      </c>
      <c r="X9" s="11">
        <v>3.6980000000000031</v>
      </c>
      <c r="Y9" s="11">
        <v>3.6619999999999968</v>
      </c>
      <c r="Z9" s="11">
        <v>3.6900000000000115</v>
      </c>
      <c r="AA9" s="11">
        <v>3.8350000000000071</v>
      </c>
      <c r="AB9" s="11">
        <v>3.9129999999999989</v>
      </c>
      <c r="AC9" s="11">
        <v>3.9670000000000063</v>
      </c>
      <c r="AD9" s="11">
        <v>4.0009999999999959</v>
      </c>
      <c r="AE9" s="11">
        <v>4.0210000000000097</v>
      </c>
      <c r="AF9" s="11">
        <v>4.033000000000019</v>
      </c>
      <c r="AG9" s="11">
        <v>4.0399999999999956</v>
      </c>
      <c r="AH9" s="11">
        <v>4.0449999999999982</v>
      </c>
      <c r="AI9" s="11">
        <v>4.0470000000000033</v>
      </c>
      <c r="AJ9" s="11">
        <v>4.0479999999999965</v>
      </c>
      <c r="AK9" s="150">
        <v>4.049000000000003</v>
      </c>
      <c r="AL9" s="11">
        <v>4.0479999999999894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>
      <c r="L10" s="65"/>
      <c r="AK10" s="150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>
      <c r="L11" s="1" t="str">
        <f>'Ind T4'!A13</f>
        <v>Manufacturing</v>
      </c>
      <c r="M11" s="11">
        <f t="shared" ref="M11:Q11" si="2">SUM(M12:M14)</f>
        <v>69.248999999999938</v>
      </c>
      <c r="N11" s="11">
        <f t="shared" si="2"/>
        <v>70.261999999999986</v>
      </c>
      <c r="O11" s="11">
        <f t="shared" si="2"/>
        <v>69.719000000000122</v>
      </c>
      <c r="P11" s="11">
        <f t="shared" si="2"/>
        <v>69.69699999999996</v>
      </c>
      <c r="Q11" s="11">
        <f t="shared" si="2"/>
        <v>70.717999999999705</v>
      </c>
      <c r="R11" s="11">
        <f t="shared" ref="R11" si="3">SUM(R12:R14)</f>
        <v>68.65899999999985</v>
      </c>
      <c r="S11" s="11">
        <f t="shared" ref="S11" si="4">SUM(S12:S14)</f>
        <v>65.025999999999698</v>
      </c>
      <c r="T11" s="11">
        <f t="shared" ref="T11" si="5">SUM(T12:T14)</f>
        <v>65.682000000000116</v>
      </c>
      <c r="U11" s="11">
        <f t="shared" ref="U11" si="6">SUM(U12:U14)</f>
        <v>67.220000000000041</v>
      </c>
      <c r="V11" s="11">
        <f t="shared" ref="V11" si="7">SUM(V12:V14)</f>
        <v>69.284999999999911</v>
      </c>
      <c r="W11" s="11">
        <f t="shared" ref="W11" si="8">SUM(W12:W14)</f>
        <v>63.879000000000048</v>
      </c>
      <c r="X11" s="11">
        <f t="shared" ref="X11" si="9">SUM(X12:X14)</f>
        <v>65.001999999999924</v>
      </c>
      <c r="Y11" s="11">
        <f t="shared" ref="Y11" si="10">SUM(Y12:Y14)</f>
        <v>64.118000000000109</v>
      </c>
      <c r="Z11" s="11">
        <f t="shared" ref="Z11" si="11">SUM(Z12:Z14)</f>
        <v>63.464999999999776</v>
      </c>
      <c r="AA11" s="11">
        <f t="shared" ref="AA11" si="12">SUM(AA12:AA14)</f>
        <v>63.086999999999946</v>
      </c>
      <c r="AB11" s="11">
        <f t="shared" ref="AB11" si="13">SUM(AB12:AB14)</f>
        <v>62.48700000000003</v>
      </c>
      <c r="AC11" s="11">
        <f t="shared" ref="AC11" si="14">SUM(AC12:AC14)</f>
        <v>61.830000000000027</v>
      </c>
      <c r="AD11" s="11">
        <f>SUM(AD12:AD14)</f>
        <v>61.143999999999942</v>
      </c>
      <c r="AE11" s="11">
        <f t="shared" ref="AE11" si="15">SUM(AE12:AE14)</f>
        <v>60.486999999999902</v>
      </c>
      <c r="AF11" s="11">
        <f t="shared" ref="AF11" si="16">SUM(AF12:AF14)</f>
        <v>59.863000000000113</v>
      </c>
      <c r="AG11" s="11">
        <f t="shared" ref="AG11:AL11" si="17">SUM(AG12:AG14)</f>
        <v>59.328999999999908</v>
      </c>
      <c r="AH11" s="11">
        <f t="shared" si="17"/>
        <v>58.786999999999864</v>
      </c>
      <c r="AI11" s="11">
        <f t="shared" si="17"/>
        <v>58.272999999999897</v>
      </c>
      <c r="AJ11" s="11">
        <f t="shared" si="17"/>
        <v>57.784999999999947</v>
      </c>
      <c r="AK11" s="11">
        <f t="shared" si="17"/>
        <v>57.322999999999844</v>
      </c>
      <c r="AL11" s="11">
        <f t="shared" si="17"/>
        <v>56.889999999999958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>
      <c r="L12" s="65" t="str">
        <f>'Ind T4'!A14</f>
        <v>Food drink and tobacco</v>
      </c>
      <c r="M12" s="11">
        <v>6.2319999999999949</v>
      </c>
      <c r="N12" s="11">
        <v>6.305000000000013</v>
      </c>
      <c r="O12" s="11">
        <v>6.2099999999999893</v>
      </c>
      <c r="P12" s="11">
        <v>6.3400000000000167</v>
      </c>
      <c r="Q12" s="11">
        <v>7.092000000000005</v>
      </c>
      <c r="R12" s="11">
        <v>7.0119999999999845</v>
      </c>
      <c r="S12" s="11">
        <v>7.2139999999999747</v>
      </c>
      <c r="T12" s="11">
        <v>6.3239999999999794</v>
      </c>
      <c r="U12" s="11">
        <v>6.2050000000000045</v>
      </c>
      <c r="V12" s="11">
        <v>6.3419999999999961</v>
      </c>
      <c r="W12" s="11">
        <v>6.2970000000000033</v>
      </c>
      <c r="X12" s="11">
        <v>6.3039999999999976</v>
      </c>
      <c r="Y12" s="11">
        <v>6.3139999999999761</v>
      </c>
      <c r="Z12" s="11">
        <v>6.353999999999993</v>
      </c>
      <c r="AA12" s="11">
        <v>6.356000000000007</v>
      </c>
      <c r="AB12" s="11">
        <v>6.3359999999999985</v>
      </c>
      <c r="AC12" s="11">
        <v>6.3270000000000071</v>
      </c>
      <c r="AD12" s="11">
        <v>6.3149999999999995</v>
      </c>
      <c r="AE12" s="11">
        <v>6.3009999999999824</v>
      </c>
      <c r="AF12" s="11">
        <v>6.284999999999985</v>
      </c>
      <c r="AG12" s="11">
        <v>6.2710000000000186</v>
      </c>
      <c r="AH12" s="11">
        <v>6.2559999999999842</v>
      </c>
      <c r="AI12" s="11">
        <v>6.2400000000000073</v>
      </c>
      <c r="AJ12" s="11">
        <v>6.2239999999999966</v>
      </c>
      <c r="AK12" s="150">
        <v>6.2070000000000025</v>
      </c>
      <c r="AL12" s="11">
        <v>6.1889999999999805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>
      <c r="L13" s="65" t="str">
        <f>'Ind T4'!A15</f>
        <v>Engineering</v>
      </c>
      <c r="M13" s="11">
        <v>8.2020000000000088</v>
      </c>
      <c r="N13" s="11">
        <v>10.241999999999987</v>
      </c>
      <c r="O13" s="11">
        <v>8.9029999999999987</v>
      </c>
      <c r="P13" s="11">
        <v>7.9330000000000034</v>
      </c>
      <c r="Q13" s="11">
        <v>7.841000000000002</v>
      </c>
      <c r="R13" s="11">
        <v>6.9600000000000088</v>
      </c>
      <c r="S13" s="11">
        <v>7.6329999999999911</v>
      </c>
      <c r="T13" s="11">
        <v>7.886000000000009</v>
      </c>
      <c r="U13" s="11">
        <v>8.3750000000000338</v>
      </c>
      <c r="V13" s="11">
        <v>8.166999999999998</v>
      </c>
      <c r="W13" s="11">
        <v>7.4149999999999814</v>
      </c>
      <c r="X13" s="11">
        <v>7.7769999999999984</v>
      </c>
      <c r="Y13" s="11">
        <v>7.7420000000000035</v>
      </c>
      <c r="Z13" s="11">
        <v>7.8459999999999859</v>
      </c>
      <c r="AA13" s="11">
        <v>7.8789999999999889</v>
      </c>
      <c r="AB13" s="11">
        <v>7.8680000000000101</v>
      </c>
      <c r="AC13" s="11">
        <v>7.7870000000000106</v>
      </c>
      <c r="AD13" s="11">
        <v>7.7049999999999912</v>
      </c>
      <c r="AE13" s="11">
        <v>7.6230000000000153</v>
      </c>
      <c r="AF13" s="11">
        <v>7.5419999999999936</v>
      </c>
      <c r="AG13" s="11">
        <v>7.4719999999999809</v>
      </c>
      <c r="AH13" s="11">
        <v>7.3980000000000015</v>
      </c>
      <c r="AI13" s="11">
        <v>7.3219999999999823</v>
      </c>
      <c r="AJ13" s="11">
        <v>7.2450000000000063</v>
      </c>
      <c r="AK13" s="150">
        <v>7.1680000000000055</v>
      </c>
      <c r="AL13" s="11">
        <v>7.0909999999999993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>
      <c r="L14" s="65" t="str">
        <f>'Ind T4'!A16</f>
        <v>Rest of manufacturing</v>
      </c>
      <c r="M14" s="11">
        <v>54.814999999999934</v>
      </c>
      <c r="N14" s="11">
        <v>53.714999999999982</v>
      </c>
      <c r="O14" s="11">
        <v>54.60600000000013</v>
      </c>
      <c r="P14" s="11">
        <v>55.423999999999943</v>
      </c>
      <c r="Q14" s="11">
        <v>55.784999999999698</v>
      </c>
      <c r="R14" s="11">
        <v>54.686999999999863</v>
      </c>
      <c r="S14" s="11">
        <v>50.178999999999732</v>
      </c>
      <c r="T14" s="11">
        <v>51.472000000000129</v>
      </c>
      <c r="U14" s="11">
        <v>52.64</v>
      </c>
      <c r="V14" s="11">
        <v>54.775999999999925</v>
      </c>
      <c r="W14" s="11">
        <v>50.167000000000066</v>
      </c>
      <c r="X14" s="11">
        <v>50.920999999999921</v>
      </c>
      <c r="Y14" s="11">
        <v>50.062000000000126</v>
      </c>
      <c r="Z14" s="11">
        <v>49.264999999999795</v>
      </c>
      <c r="AA14" s="11">
        <v>48.851999999999954</v>
      </c>
      <c r="AB14" s="11">
        <v>48.283000000000023</v>
      </c>
      <c r="AC14" s="11">
        <v>47.716000000000008</v>
      </c>
      <c r="AD14" s="11">
        <v>47.123999999999953</v>
      </c>
      <c r="AE14" s="11">
        <v>46.562999999999903</v>
      </c>
      <c r="AF14" s="11">
        <v>46.036000000000136</v>
      </c>
      <c r="AG14" s="11">
        <v>45.585999999999906</v>
      </c>
      <c r="AH14" s="11">
        <v>45.132999999999882</v>
      </c>
      <c r="AI14" s="11">
        <v>44.710999999999906</v>
      </c>
      <c r="AJ14" s="11">
        <v>44.315999999999946</v>
      </c>
      <c r="AK14" s="150">
        <v>43.947999999999837</v>
      </c>
      <c r="AL14" s="11">
        <v>43.609999999999978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>
      <c r="L15" s="65"/>
      <c r="AK15" s="150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>
      <c r="L16" s="1" t="str">
        <f>'Ind T4'!A18</f>
        <v>Construction</v>
      </c>
      <c r="M16" s="11">
        <v>35.561</v>
      </c>
      <c r="N16" s="11">
        <v>32.781000000000013</v>
      </c>
      <c r="O16" s="11">
        <v>32.984000000000016</v>
      </c>
      <c r="P16" s="11">
        <v>31.037999999999954</v>
      </c>
      <c r="Q16" s="11">
        <v>27.869999999999987</v>
      </c>
      <c r="R16" s="11">
        <v>31.762999999999966</v>
      </c>
      <c r="S16" s="11">
        <v>29.73800000000001</v>
      </c>
      <c r="T16" s="11">
        <v>30.231000000000048</v>
      </c>
      <c r="U16" s="11">
        <v>38.885000000000076</v>
      </c>
      <c r="V16" s="11">
        <v>39.074999999999896</v>
      </c>
      <c r="W16" s="11">
        <v>37.014999999999908</v>
      </c>
      <c r="X16" s="11">
        <v>36.344999999999956</v>
      </c>
      <c r="Y16" s="11">
        <v>36.402999999999899</v>
      </c>
      <c r="Z16" s="11">
        <v>36.59600000000006</v>
      </c>
      <c r="AA16" s="11">
        <v>36.788000000000018</v>
      </c>
      <c r="AB16" s="11">
        <v>36.903999999999947</v>
      </c>
      <c r="AC16" s="11">
        <v>36.983999999999952</v>
      </c>
      <c r="AD16" s="11">
        <v>36.986999999999902</v>
      </c>
      <c r="AE16" s="11">
        <v>37.025000000000055</v>
      </c>
      <c r="AF16" s="11">
        <v>37.043999999999997</v>
      </c>
      <c r="AG16" s="11">
        <v>37.100999999999992</v>
      </c>
      <c r="AH16" s="11">
        <v>37.162999999999862</v>
      </c>
      <c r="AI16" s="11">
        <v>37.230000000000132</v>
      </c>
      <c r="AJ16" s="11">
        <v>37.301999999999929</v>
      </c>
      <c r="AK16" s="150">
        <v>37.374999999999964</v>
      </c>
      <c r="AL16" s="11">
        <v>37.449999999999925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>
      <c r="L17" s="65"/>
      <c r="AK17" s="150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>
      <c r="L18" s="1" t="str">
        <f>'Ind T4'!A20</f>
        <v>Trade, accomod. and transport</v>
      </c>
      <c r="M18" s="11">
        <f>SUM(M19:M21)</f>
        <v>132.35200000000003</v>
      </c>
      <c r="N18" s="11">
        <f t="shared" ref="N18:AL18" si="18">SUM(N19:N21)</f>
        <v>128.18300000000002</v>
      </c>
      <c r="O18" s="11">
        <f t="shared" si="18"/>
        <v>136.41099999999994</v>
      </c>
      <c r="P18" s="11">
        <f t="shared" si="18"/>
        <v>134.39599999999984</v>
      </c>
      <c r="Q18" s="11">
        <f t="shared" si="18"/>
        <v>140.59800000000018</v>
      </c>
      <c r="R18" s="11">
        <f t="shared" si="18"/>
        <v>147.42899999999986</v>
      </c>
      <c r="S18" s="11">
        <f t="shared" si="18"/>
        <v>144.13500000000008</v>
      </c>
      <c r="T18" s="11">
        <f t="shared" si="18"/>
        <v>146.72099999999983</v>
      </c>
      <c r="U18" s="11">
        <f t="shared" si="18"/>
        <v>145.82500000000005</v>
      </c>
      <c r="V18" s="11">
        <f t="shared" si="18"/>
        <v>146.70800000000003</v>
      </c>
      <c r="W18" s="11">
        <f t="shared" si="18"/>
        <v>144.72400000000016</v>
      </c>
      <c r="X18" s="11">
        <f t="shared" si="18"/>
        <v>146.4140000000001</v>
      </c>
      <c r="Y18" s="11">
        <f t="shared" si="18"/>
        <v>147.57999999999993</v>
      </c>
      <c r="Z18" s="11">
        <f t="shared" si="18"/>
        <v>148.35900000000018</v>
      </c>
      <c r="AA18" s="11">
        <f t="shared" si="18"/>
        <v>149.1609999999998</v>
      </c>
      <c r="AB18" s="11">
        <f t="shared" si="18"/>
        <v>150.0100000000003</v>
      </c>
      <c r="AC18" s="11">
        <f t="shared" si="18"/>
        <v>150.70099999999982</v>
      </c>
      <c r="AD18" s="11">
        <f t="shared" si="18"/>
        <v>151.33300000000011</v>
      </c>
      <c r="AE18" s="11">
        <f t="shared" si="18"/>
        <v>151.92899999999972</v>
      </c>
      <c r="AF18" s="11">
        <f t="shared" si="18"/>
        <v>152.50600000000034</v>
      </c>
      <c r="AG18" s="11">
        <f t="shared" si="18"/>
        <v>153.10400000000013</v>
      </c>
      <c r="AH18" s="11">
        <f t="shared" si="18"/>
        <v>153.69199999999998</v>
      </c>
      <c r="AI18" s="11">
        <f t="shared" si="18"/>
        <v>154.26700000000017</v>
      </c>
      <c r="AJ18" s="11">
        <f t="shared" si="18"/>
        <v>154.84799999999981</v>
      </c>
      <c r="AK18" s="11">
        <f t="shared" si="18"/>
        <v>155.40800000000007</v>
      </c>
      <c r="AL18" s="11">
        <f t="shared" si="18"/>
        <v>155.9559999999997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>
      <c r="L19" s="65" t="str">
        <f>'Ind T4'!A21</f>
        <v>Wholesale and retail trade</v>
      </c>
      <c r="M19" s="11">
        <v>90.263000000000005</v>
      </c>
      <c r="N19" s="11">
        <v>87.678999999999959</v>
      </c>
      <c r="O19" s="11">
        <v>89.740999999999843</v>
      </c>
      <c r="P19" s="11">
        <v>91.666999999999916</v>
      </c>
      <c r="Q19" s="11">
        <v>92.72600000000017</v>
      </c>
      <c r="R19" s="11">
        <v>92.065999999999903</v>
      </c>
      <c r="S19" s="11">
        <v>90.358999999999952</v>
      </c>
      <c r="T19" s="11">
        <v>91.593999999999909</v>
      </c>
      <c r="U19" s="11">
        <v>90.236000000000004</v>
      </c>
      <c r="V19" s="11">
        <v>88.56</v>
      </c>
      <c r="W19" s="11">
        <v>87.074000000000183</v>
      </c>
      <c r="X19" s="11">
        <v>87.469000000000094</v>
      </c>
      <c r="Y19" s="11">
        <v>87.57199999999996</v>
      </c>
      <c r="Z19" s="11">
        <v>87.586000000000254</v>
      </c>
      <c r="AA19" s="11">
        <v>87.716999999999985</v>
      </c>
      <c r="AB19" s="11">
        <v>87.879000000000161</v>
      </c>
      <c r="AC19" s="11">
        <v>87.973999999999819</v>
      </c>
      <c r="AD19" s="11">
        <v>88.053000000000054</v>
      </c>
      <c r="AE19" s="11">
        <v>88.124999999999716</v>
      </c>
      <c r="AF19" s="11">
        <v>88.194000000000216</v>
      </c>
      <c r="AG19" s="11">
        <v>88.283000000000072</v>
      </c>
      <c r="AH19" s="11">
        <v>88.380999999999958</v>
      </c>
      <c r="AI19" s="11">
        <v>88.480000000000089</v>
      </c>
      <c r="AJ19" s="11">
        <v>88.603999999999843</v>
      </c>
      <c r="AK19" s="150">
        <v>88.722999999999985</v>
      </c>
      <c r="AL19" s="11">
        <v>88.842999999999677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>
      <c r="L20" s="65" t="str">
        <f>'Ind T4'!A22</f>
        <v>Transport and storage</v>
      </c>
      <c r="M20" s="11">
        <v>22.520000000000007</v>
      </c>
      <c r="N20" s="11">
        <v>21.381000000000057</v>
      </c>
      <c r="O20" s="11">
        <v>27.172000000000054</v>
      </c>
      <c r="P20" s="11">
        <v>23.774999999999917</v>
      </c>
      <c r="Q20" s="11">
        <v>25.930000000000003</v>
      </c>
      <c r="R20" s="11">
        <v>33.456999999999994</v>
      </c>
      <c r="S20" s="11">
        <v>31.619000000000135</v>
      </c>
      <c r="T20" s="11">
        <v>30.200999999999915</v>
      </c>
      <c r="U20" s="11">
        <v>32.647000000000006</v>
      </c>
      <c r="V20" s="11">
        <v>34.173000000000059</v>
      </c>
      <c r="W20" s="11">
        <v>32.947999999999944</v>
      </c>
      <c r="X20" s="11">
        <v>35.003000000000036</v>
      </c>
      <c r="Y20" s="11">
        <v>35.118000000000016</v>
      </c>
      <c r="Z20" s="11">
        <v>35.410999999999959</v>
      </c>
      <c r="AA20" s="11">
        <v>35.739999999999817</v>
      </c>
      <c r="AB20" s="11">
        <v>35.964000000000077</v>
      </c>
      <c r="AC20" s="11">
        <v>36.150000000000048</v>
      </c>
      <c r="AD20" s="11">
        <v>36.331000000000053</v>
      </c>
      <c r="AE20" s="11">
        <v>36.508000000000052</v>
      </c>
      <c r="AF20" s="11">
        <v>36.686000000000057</v>
      </c>
      <c r="AG20" s="11">
        <v>36.874000000000045</v>
      </c>
      <c r="AH20" s="11">
        <v>37.052999999999955</v>
      </c>
      <c r="AI20" s="11">
        <v>37.232000000000085</v>
      </c>
      <c r="AJ20" s="11">
        <v>37.408000000000008</v>
      </c>
      <c r="AK20" s="150">
        <v>37.583999999999968</v>
      </c>
      <c r="AL20" s="11">
        <v>37.761000000000067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>
      <c r="L21" s="65" t="str">
        <f>'Ind T4'!A23</f>
        <v>Accommodation and food</v>
      </c>
      <c r="M21" s="11">
        <v>19.56900000000001</v>
      </c>
      <c r="N21" s="11">
        <v>19.123000000000005</v>
      </c>
      <c r="O21" s="11">
        <v>19.498000000000033</v>
      </c>
      <c r="P21" s="11">
        <v>18.954000000000022</v>
      </c>
      <c r="Q21" s="11">
        <v>21.942000000000007</v>
      </c>
      <c r="R21" s="11">
        <v>21.905999999999963</v>
      </c>
      <c r="S21" s="11">
        <v>22.156999999999986</v>
      </c>
      <c r="T21" s="11">
        <v>24.926000000000013</v>
      </c>
      <c r="U21" s="11">
        <v>22.942000000000025</v>
      </c>
      <c r="V21" s="11">
        <v>23.974999999999959</v>
      </c>
      <c r="W21" s="11">
        <v>24.702000000000027</v>
      </c>
      <c r="X21" s="11">
        <v>23.941999999999975</v>
      </c>
      <c r="Y21" s="11">
        <v>24.889999999999944</v>
      </c>
      <c r="Z21" s="11">
        <v>25.361999999999977</v>
      </c>
      <c r="AA21" s="11">
        <v>25.704000000000018</v>
      </c>
      <c r="AB21" s="11">
        <v>26.167000000000062</v>
      </c>
      <c r="AC21" s="11">
        <v>26.576999999999945</v>
      </c>
      <c r="AD21" s="11">
        <v>26.949000000000005</v>
      </c>
      <c r="AE21" s="11">
        <v>27.29599999999996</v>
      </c>
      <c r="AF21" s="11">
        <v>27.626000000000055</v>
      </c>
      <c r="AG21" s="11">
        <v>27.946999999999996</v>
      </c>
      <c r="AH21" s="11">
        <v>28.258000000000063</v>
      </c>
      <c r="AI21" s="11">
        <v>28.554999999999993</v>
      </c>
      <c r="AJ21" s="11">
        <v>28.835999999999967</v>
      </c>
      <c r="AK21" s="150">
        <v>29.101000000000113</v>
      </c>
      <c r="AL21" s="11">
        <v>29.351999999999972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>
      <c r="L22" s="65"/>
      <c r="AK22" s="150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>
      <c r="L23" s="1" t="str">
        <f>'Ind T4'!A25</f>
        <v>Business and other services</v>
      </c>
      <c r="M23" s="11">
        <f>SUM(M24:M31)</f>
        <v>107.27299999999991</v>
      </c>
      <c r="N23" s="11">
        <f t="shared" ref="N23:AL23" si="19">SUM(N24:N31)</f>
        <v>106.95200000000004</v>
      </c>
      <c r="O23" s="11">
        <f t="shared" si="19"/>
        <v>106.22899999999987</v>
      </c>
      <c r="P23" s="11">
        <f t="shared" si="19"/>
        <v>106.98700000000002</v>
      </c>
      <c r="Q23" s="11">
        <f t="shared" si="19"/>
        <v>108.05700000000004</v>
      </c>
      <c r="R23" s="11">
        <f t="shared" si="19"/>
        <v>123.34700000000012</v>
      </c>
      <c r="S23" s="11">
        <f t="shared" si="19"/>
        <v>124.83900000000003</v>
      </c>
      <c r="T23" s="11">
        <f t="shared" si="19"/>
        <v>125.38399999999999</v>
      </c>
      <c r="U23" s="11">
        <f t="shared" si="19"/>
        <v>120.73799999999994</v>
      </c>
      <c r="V23" s="11">
        <f t="shared" si="19"/>
        <v>113.62800000000009</v>
      </c>
      <c r="W23" s="11">
        <f t="shared" si="19"/>
        <v>111.41800000000002</v>
      </c>
      <c r="X23" s="11">
        <f t="shared" si="19"/>
        <v>112.06099999999996</v>
      </c>
      <c r="Y23" s="11">
        <f t="shared" si="19"/>
        <v>111.96499999999995</v>
      </c>
      <c r="Z23" s="11">
        <f t="shared" si="19"/>
        <v>112.31400000000011</v>
      </c>
      <c r="AA23" s="11">
        <f t="shared" si="19"/>
        <v>112.88400000000003</v>
      </c>
      <c r="AB23" s="11">
        <f t="shared" si="19"/>
        <v>113.29000000000006</v>
      </c>
      <c r="AC23" s="11">
        <f t="shared" si="19"/>
        <v>113.73899999999995</v>
      </c>
      <c r="AD23" s="11">
        <f t="shared" si="19"/>
        <v>114.17900000000003</v>
      </c>
      <c r="AE23" s="11">
        <f t="shared" si="19"/>
        <v>114.62499999999993</v>
      </c>
      <c r="AF23" s="11">
        <f t="shared" si="19"/>
        <v>115.07700000000006</v>
      </c>
      <c r="AG23" s="11">
        <f t="shared" si="19"/>
        <v>115.55800000000004</v>
      </c>
      <c r="AH23" s="11">
        <f t="shared" si="19"/>
        <v>116.02499999999999</v>
      </c>
      <c r="AI23" s="11">
        <f t="shared" si="19"/>
        <v>116.49899999999981</v>
      </c>
      <c r="AJ23" s="11">
        <f t="shared" si="19"/>
        <v>116.97199999999998</v>
      </c>
      <c r="AK23" s="11">
        <f t="shared" si="19"/>
        <v>117.44199999999988</v>
      </c>
      <c r="AL23" s="11">
        <f t="shared" si="19"/>
        <v>117.91199999999999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>
      <c r="L24" s="65" t="str">
        <f>'Ind T4'!A26</f>
        <v>Media</v>
      </c>
      <c r="M24" s="11">
        <v>2.1739999999999959</v>
      </c>
      <c r="N24" s="11">
        <v>1.526999999999999</v>
      </c>
      <c r="O24" s="11">
        <v>1.5420000000000011</v>
      </c>
      <c r="P24" s="11">
        <v>1.586000000000001</v>
      </c>
      <c r="Q24" s="11">
        <v>2.11</v>
      </c>
      <c r="R24" s="11">
        <v>1.7079999999999989</v>
      </c>
      <c r="S24" s="11">
        <v>1.3409999999999966</v>
      </c>
      <c r="T24" s="11">
        <v>1.5949999999999995</v>
      </c>
      <c r="U24" s="11">
        <v>1.4139999999999981</v>
      </c>
      <c r="V24" s="11">
        <v>1.8249999999999982</v>
      </c>
      <c r="W24" s="11">
        <v>2.1099999999999994</v>
      </c>
      <c r="X24" s="11">
        <v>2.089000000000004</v>
      </c>
      <c r="Y24" s="11">
        <v>2.0829999999999962</v>
      </c>
      <c r="Z24" s="11">
        <v>2.0760000000000014</v>
      </c>
      <c r="AA24" s="11">
        <v>2.0720000000000014</v>
      </c>
      <c r="AB24" s="11">
        <v>2.0780000000000038</v>
      </c>
      <c r="AC24" s="11">
        <v>2.081</v>
      </c>
      <c r="AD24" s="11">
        <v>2.0840000000000001</v>
      </c>
      <c r="AE24" s="11">
        <v>2.0870000000000024</v>
      </c>
      <c r="AF24" s="11">
        <v>2.0899999999999981</v>
      </c>
      <c r="AG24" s="11">
        <v>2.0930000000000013</v>
      </c>
      <c r="AH24" s="11">
        <v>2.0950000000000029</v>
      </c>
      <c r="AI24" s="11">
        <v>2.0980000000000043</v>
      </c>
      <c r="AJ24" s="11">
        <v>2.101</v>
      </c>
      <c r="AK24" s="150">
        <v>2.1039999999999992</v>
      </c>
      <c r="AL24" s="11">
        <v>2.105999999999995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>
      <c r="L25" s="65" t="str">
        <f>'Ind T4'!A27</f>
        <v>Information technology</v>
      </c>
      <c r="M25" s="11">
        <v>7.0789999999999971</v>
      </c>
      <c r="N25" s="11">
        <v>5.9140000000000024</v>
      </c>
      <c r="O25" s="11">
        <v>6.4789999999999983</v>
      </c>
      <c r="P25" s="11">
        <v>6.3760000000000039</v>
      </c>
      <c r="Q25" s="11">
        <v>5.8740000000000068</v>
      </c>
      <c r="R25" s="11">
        <v>6.5380000000000287</v>
      </c>
      <c r="S25" s="11">
        <v>7.5250000000000181</v>
      </c>
      <c r="T25" s="11">
        <v>7.0699999999999896</v>
      </c>
      <c r="U25" s="11">
        <v>7.0200000000000227</v>
      </c>
      <c r="V25" s="11">
        <v>6.394000000000017</v>
      </c>
      <c r="W25" s="11">
        <v>6.8729999999999887</v>
      </c>
      <c r="X25" s="11">
        <v>6.9720000000000208</v>
      </c>
      <c r="Y25" s="11">
        <v>6.9980000000000002</v>
      </c>
      <c r="Z25" s="11">
        <v>7.0639999999999921</v>
      </c>
      <c r="AA25" s="11">
        <v>7.1130000000000271</v>
      </c>
      <c r="AB25" s="11">
        <v>7.1499999999999702</v>
      </c>
      <c r="AC25" s="11">
        <v>7.1830000000000007</v>
      </c>
      <c r="AD25" s="11">
        <v>7.2099999999999804</v>
      </c>
      <c r="AE25" s="11">
        <v>7.2339999999999813</v>
      </c>
      <c r="AF25" s="11">
        <v>7.258000000000016</v>
      </c>
      <c r="AG25" s="11">
        <v>7.2839999999999945</v>
      </c>
      <c r="AH25" s="11">
        <v>7.3080000000000087</v>
      </c>
      <c r="AI25" s="11">
        <v>7.3309999999999649</v>
      </c>
      <c r="AJ25" s="11">
        <v>7.352999999999998</v>
      </c>
      <c r="AK25" s="150">
        <v>7.3720000000000203</v>
      </c>
      <c r="AL25" s="11">
        <v>7.3899999999999935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>
      <c r="L26" s="65" t="str">
        <f>'Ind T4'!A28</f>
        <v>Finance and insurance</v>
      </c>
      <c r="M26" s="11">
        <v>12.460000000000008</v>
      </c>
      <c r="N26" s="11">
        <v>9.9720000000000102</v>
      </c>
      <c r="O26" s="11">
        <v>8.5779999999999959</v>
      </c>
      <c r="P26" s="11">
        <v>10.250000000000009</v>
      </c>
      <c r="Q26" s="11">
        <v>9.2219999999999747</v>
      </c>
      <c r="R26" s="11">
        <v>10.219000000000021</v>
      </c>
      <c r="S26" s="11">
        <v>8.9610000000000305</v>
      </c>
      <c r="T26" s="11">
        <v>9.4130000000000003</v>
      </c>
      <c r="U26" s="11">
        <v>10.077999999999998</v>
      </c>
      <c r="V26" s="11">
        <v>10.284000000000029</v>
      </c>
      <c r="W26" s="11">
        <v>10.441000000000011</v>
      </c>
      <c r="X26" s="11">
        <v>10.659999999999984</v>
      </c>
      <c r="Y26" s="11">
        <v>10.619999999999989</v>
      </c>
      <c r="Z26" s="11">
        <v>10.572000000000012</v>
      </c>
      <c r="AA26" s="11">
        <v>10.502000000000006</v>
      </c>
      <c r="AB26" s="11">
        <v>10.453999999999997</v>
      </c>
      <c r="AC26" s="11">
        <v>10.419000000000006</v>
      </c>
      <c r="AD26" s="11">
        <v>10.382</v>
      </c>
      <c r="AE26" s="11">
        <v>10.34499999999996</v>
      </c>
      <c r="AF26" s="11">
        <v>10.306999999999986</v>
      </c>
      <c r="AG26" s="11">
        <v>10.270999999999997</v>
      </c>
      <c r="AH26" s="11">
        <v>10.227000000000009</v>
      </c>
      <c r="AI26" s="11">
        <v>10.183999999999989</v>
      </c>
      <c r="AJ26" s="11">
        <v>10.140000000000008</v>
      </c>
      <c r="AK26" s="150">
        <v>10.096999999999989</v>
      </c>
      <c r="AL26" s="11">
        <v>10.054000000000002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>
      <c r="L27" s="65" t="str">
        <f>'Ind T4'!A29</f>
        <v>Real estate</v>
      </c>
      <c r="M27" s="11">
        <v>7.2259999999999875</v>
      </c>
      <c r="N27" s="11">
        <v>6.3920000000000083</v>
      </c>
      <c r="O27" s="11">
        <v>6.6840000000000011</v>
      </c>
      <c r="P27" s="11">
        <v>7.4509999999999952</v>
      </c>
      <c r="Q27" s="11">
        <v>8.2699999999999942</v>
      </c>
      <c r="R27" s="11">
        <v>7.7230000000000008</v>
      </c>
      <c r="S27" s="11">
        <v>8.453000000000003</v>
      </c>
      <c r="T27" s="11">
        <v>10.059999999999992</v>
      </c>
      <c r="U27" s="11">
        <v>10.287999999999993</v>
      </c>
      <c r="V27" s="11">
        <v>10.185000000000009</v>
      </c>
      <c r="W27" s="11">
        <v>10.240000000000016</v>
      </c>
      <c r="X27" s="11">
        <v>10.218999999999994</v>
      </c>
      <c r="Y27" s="11">
        <v>10.178000000000024</v>
      </c>
      <c r="Z27" s="11">
        <v>10.184999999999993</v>
      </c>
      <c r="AA27" s="11">
        <v>10.24600000000002</v>
      </c>
      <c r="AB27" s="11">
        <v>10.307999999999979</v>
      </c>
      <c r="AC27" s="11">
        <v>10.38799999999998</v>
      </c>
      <c r="AD27" s="11">
        <v>10.477000000000004</v>
      </c>
      <c r="AE27" s="11">
        <v>10.569999999999999</v>
      </c>
      <c r="AF27" s="11">
        <v>10.666000000000002</v>
      </c>
      <c r="AG27" s="11">
        <v>10.761999999999995</v>
      </c>
      <c r="AH27" s="11">
        <v>10.858000000000024</v>
      </c>
      <c r="AI27" s="11">
        <v>10.955000000000005</v>
      </c>
      <c r="AJ27" s="11">
        <v>11.050999999999991</v>
      </c>
      <c r="AK27" s="150">
        <v>11.144999999999996</v>
      </c>
      <c r="AL27" s="11">
        <v>11.238000000000005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>
      <c r="L28" s="65" t="str">
        <f>'Ind T4'!A30</f>
        <v>Professional services</v>
      </c>
      <c r="M28" s="11">
        <v>17.408999999999999</v>
      </c>
      <c r="N28" s="11">
        <v>22.55299999999998</v>
      </c>
      <c r="O28" s="11">
        <v>19.888999999999907</v>
      </c>
      <c r="P28" s="11">
        <v>21.208000000000037</v>
      </c>
      <c r="Q28" s="11">
        <v>23.673999999999968</v>
      </c>
      <c r="R28" s="11">
        <v>28.591999999999977</v>
      </c>
      <c r="S28" s="11">
        <v>24.307000000000031</v>
      </c>
      <c r="T28" s="11">
        <v>23.628999999999962</v>
      </c>
      <c r="U28" s="11">
        <v>26.37699999999997</v>
      </c>
      <c r="V28" s="11">
        <v>24.793999999999993</v>
      </c>
      <c r="W28" s="11">
        <v>24.728999999999964</v>
      </c>
      <c r="X28" s="11">
        <v>25.012000000000008</v>
      </c>
      <c r="Y28" s="11">
        <v>25.118000000000016</v>
      </c>
      <c r="Z28" s="11">
        <v>25.260000000000019</v>
      </c>
      <c r="AA28" s="11">
        <v>25.424999999999958</v>
      </c>
      <c r="AB28" s="11">
        <v>25.556000000000012</v>
      </c>
      <c r="AC28" s="11">
        <v>25.67599999999997</v>
      </c>
      <c r="AD28" s="11">
        <v>25.800000000000011</v>
      </c>
      <c r="AE28" s="11">
        <v>25.92899999999997</v>
      </c>
      <c r="AF28" s="11">
        <v>26.062000000000033</v>
      </c>
      <c r="AG28" s="11">
        <v>26.204000000000018</v>
      </c>
      <c r="AH28" s="11">
        <v>26.341999999999945</v>
      </c>
      <c r="AI28" s="11">
        <v>26.480999999999941</v>
      </c>
      <c r="AJ28" s="11">
        <v>26.618999999999996</v>
      </c>
      <c r="AK28" s="150">
        <v>26.755999999999926</v>
      </c>
      <c r="AL28" s="11">
        <v>26.893000000000079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>
      <c r="L29" s="65" t="str">
        <f>'Ind T4'!A31</f>
        <v>Support services</v>
      </c>
      <c r="M29" s="11">
        <v>38.409999999999947</v>
      </c>
      <c r="N29" s="11">
        <v>38.50600000000005</v>
      </c>
      <c r="O29" s="11">
        <v>41.116999999999983</v>
      </c>
      <c r="P29" s="11">
        <v>37.309999999999974</v>
      </c>
      <c r="Q29" s="11">
        <v>34.943000000000076</v>
      </c>
      <c r="R29" s="11">
        <v>40.241000000000078</v>
      </c>
      <c r="S29" s="11">
        <v>45.658999999999949</v>
      </c>
      <c r="T29" s="11">
        <v>45.498000000000012</v>
      </c>
      <c r="U29" s="11">
        <v>39.043999999999997</v>
      </c>
      <c r="V29" s="11">
        <v>34.294000000000032</v>
      </c>
      <c r="W29" s="11">
        <v>32.168000000000021</v>
      </c>
      <c r="X29" s="11">
        <v>32.616999999999962</v>
      </c>
      <c r="Y29" s="11">
        <v>33.142999999999958</v>
      </c>
      <c r="Z29" s="11">
        <v>33.471000000000082</v>
      </c>
      <c r="AA29" s="11">
        <v>33.689000000000007</v>
      </c>
      <c r="AB29" s="11">
        <v>33.855000000000089</v>
      </c>
      <c r="AC29" s="11">
        <v>34.043999999999954</v>
      </c>
      <c r="AD29" s="11">
        <v>34.229000000000056</v>
      </c>
      <c r="AE29" s="11">
        <v>34.412000000000027</v>
      </c>
      <c r="AF29" s="11">
        <v>34.594999999999978</v>
      </c>
      <c r="AG29" s="11">
        <v>34.783000000000008</v>
      </c>
      <c r="AH29" s="11">
        <v>34.963000000000008</v>
      </c>
      <c r="AI29" s="11">
        <v>35.142999999999944</v>
      </c>
      <c r="AJ29" s="11">
        <v>35.322999999999993</v>
      </c>
      <c r="AK29" s="150">
        <v>35.502999999999943</v>
      </c>
      <c r="AL29" s="11">
        <v>35.682999999999957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>
      <c r="L30" s="65" t="str">
        <f>'Ind T4'!A32</f>
        <v>Arts and entertainment</v>
      </c>
      <c r="M30" s="11">
        <v>11.415999999999986</v>
      </c>
      <c r="N30" s="11">
        <v>9.5530000000000097</v>
      </c>
      <c r="O30" s="11">
        <v>10.447999999999988</v>
      </c>
      <c r="P30" s="11">
        <v>10.337999999999985</v>
      </c>
      <c r="Q30" s="11">
        <v>9.8310000000000048</v>
      </c>
      <c r="R30" s="11">
        <v>11.902000000000012</v>
      </c>
      <c r="S30" s="11">
        <v>10.432000000000016</v>
      </c>
      <c r="T30" s="11">
        <v>10.223000000000013</v>
      </c>
      <c r="U30" s="11">
        <v>9.6130000000000067</v>
      </c>
      <c r="V30" s="11">
        <v>12.170000000000012</v>
      </c>
      <c r="W30" s="11">
        <v>11.910000000000011</v>
      </c>
      <c r="X30" s="11">
        <v>11.759000000000004</v>
      </c>
      <c r="Y30" s="11">
        <v>11.238999999999972</v>
      </c>
      <c r="Z30" s="11">
        <v>11.090000000000012</v>
      </c>
      <c r="AA30" s="11">
        <v>11.218999999999987</v>
      </c>
      <c r="AB30" s="11">
        <v>11.284999999999984</v>
      </c>
      <c r="AC30" s="11">
        <v>11.364999999999998</v>
      </c>
      <c r="AD30" s="11">
        <v>11.432999999999998</v>
      </c>
      <c r="AE30" s="11">
        <v>11.498000000000006</v>
      </c>
      <c r="AF30" s="11">
        <v>11.558000000000023</v>
      </c>
      <c r="AG30" s="11">
        <v>11.620999999999999</v>
      </c>
      <c r="AH30" s="11">
        <v>11.687000000000024</v>
      </c>
      <c r="AI30" s="11">
        <v>11.753999999999994</v>
      </c>
      <c r="AJ30" s="11">
        <v>11.820999999999996</v>
      </c>
      <c r="AK30" s="150">
        <v>11.887000000000006</v>
      </c>
      <c r="AL30" s="11">
        <v>11.952999999999991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>
      <c r="L31" s="65" t="str">
        <f>'Ind T4'!A33</f>
        <v>Other services</v>
      </c>
      <c r="M31" s="11">
        <v>11.099000000000006</v>
      </c>
      <c r="N31" s="11">
        <v>12.534999999999972</v>
      </c>
      <c r="O31" s="11">
        <v>11.491999999999992</v>
      </c>
      <c r="P31" s="11">
        <v>12.468000000000016</v>
      </c>
      <c r="Q31" s="11">
        <v>14.133000000000024</v>
      </c>
      <c r="R31" s="11">
        <v>16.423999999999999</v>
      </c>
      <c r="S31" s="11">
        <v>18.160999999999994</v>
      </c>
      <c r="T31" s="11">
        <v>17.896000000000019</v>
      </c>
      <c r="U31" s="11">
        <v>16.903999999999961</v>
      </c>
      <c r="V31" s="11">
        <v>13.682000000000006</v>
      </c>
      <c r="W31" s="11">
        <v>12.947000000000006</v>
      </c>
      <c r="X31" s="11">
        <v>12.732999999999993</v>
      </c>
      <c r="Y31" s="11">
        <v>12.585999999999977</v>
      </c>
      <c r="Z31" s="11">
        <v>12.595999999999997</v>
      </c>
      <c r="AA31" s="11">
        <v>12.618000000000006</v>
      </c>
      <c r="AB31" s="11">
        <v>12.604000000000022</v>
      </c>
      <c r="AC31" s="11">
        <v>12.583000000000034</v>
      </c>
      <c r="AD31" s="11">
        <v>12.563999999999995</v>
      </c>
      <c r="AE31" s="11">
        <v>12.549999999999978</v>
      </c>
      <c r="AF31" s="11">
        <v>12.541000000000025</v>
      </c>
      <c r="AG31" s="11">
        <v>12.54000000000002</v>
      </c>
      <c r="AH31" s="11">
        <v>12.544999999999979</v>
      </c>
      <c r="AI31" s="11">
        <v>12.552999999999972</v>
      </c>
      <c r="AJ31" s="11">
        <v>12.563999999999995</v>
      </c>
      <c r="AK31" s="150">
        <v>12.578000000000003</v>
      </c>
      <c r="AL31" s="11">
        <v>12.594999999999967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>
      <c r="L32" s="65"/>
      <c r="AK32" s="150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>
      <c r="L33" s="1" t="str">
        <f>'Ind T4'!A35</f>
        <v>Non-marketed services</v>
      </c>
      <c r="M33" s="11">
        <f>SUM(M34:M36)</f>
        <v>128.03700000000009</v>
      </c>
      <c r="N33" s="11">
        <f t="shared" ref="N33:AK33" si="20">SUM(N34:N36)</f>
        <v>130.02600000000012</v>
      </c>
      <c r="O33" s="11">
        <f t="shared" si="20"/>
        <v>129.16599999999994</v>
      </c>
      <c r="P33" s="11">
        <f t="shared" si="20"/>
        <v>128.71900000000005</v>
      </c>
      <c r="Q33" s="11">
        <f t="shared" si="20"/>
        <v>130.58599999999998</v>
      </c>
      <c r="R33" s="11">
        <f t="shared" si="20"/>
        <v>121.68000000000023</v>
      </c>
      <c r="S33" s="11">
        <f t="shared" si="20"/>
        <v>128.71299999999982</v>
      </c>
      <c r="T33" s="11">
        <f t="shared" si="20"/>
        <v>132.53799999999993</v>
      </c>
      <c r="U33" s="11">
        <f t="shared" si="20"/>
        <v>128.14700000000005</v>
      </c>
      <c r="V33" s="11">
        <f t="shared" si="20"/>
        <v>132.68899999999999</v>
      </c>
      <c r="W33" s="11">
        <f t="shared" si="20"/>
        <v>132.11400000000006</v>
      </c>
      <c r="X33" s="11">
        <f t="shared" si="20"/>
        <v>133.38300000000004</v>
      </c>
      <c r="Y33" s="11">
        <f t="shared" si="20"/>
        <v>134.67399999999992</v>
      </c>
      <c r="Z33" s="11">
        <f t="shared" si="20"/>
        <v>135.84100000000007</v>
      </c>
      <c r="AA33" s="11">
        <f t="shared" si="20"/>
        <v>137.26000000000005</v>
      </c>
      <c r="AB33" s="11">
        <f t="shared" si="20"/>
        <v>138.34700000000004</v>
      </c>
      <c r="AC33" s="11">
        <f t="shared" si="20"/>
        <v>139.17900000000017</v>
      </c>
      <c r="AD33" s="11">
        <f t="shared" si="20"/>
        <v>139.97799999999995</v>
      </c>
      <c r="AE33" s="11">
        <f t="shared" si="20"/>
        <v>140.76899999999995</v>
      </c>
      <c r="AF33" s="11">
        <f t="shared" si="20"/>
        <v>141.56799999999998</v>
      </c>
      <c r="AG33" s="11">
        <f t="shared" si="20"/>
        <v>142.40000000000023</v>
      </c>
      <c r="AH33" s="11">
        <f t="shared" si="20"/>
        <v>143.23300000000009</v>
      </c>
      <c r="AI33" s="11">
        <f t="shared" si="20"/>
        <v>144.0680000000001</v>
      </c>
      <c r="AJ33" s="11">
        <f t="shared" si="20"/>
        <v>144.90499999999997</v>
      </c>
      <c r="AK33" s="11">
        <f t="shared" si="20"/>
        <v>145.74400000000009</v>
      </c>
      <c r="AL33" s="11">
        <f>SUM(AL34:AL36)</f>
        <v>146.59199999999998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>
      <c r="L34" s="65" t="str">
        <f>'Ind T4'!A36</f>
        <v>Public admin. and defence</v>
      </c>
      <c r="M34" s="11">
        <v>18.26199999999999</v>
      </c>
      <c r="N34" s="11">
        <v>17.841000000000058</v>
      </c>
      <c r="O34" s="11">
        <v>19.266000000000009</v>
      </c>
      <c r="P34" s="11">
        <v>18.013999999999974</v>
      </c>
      <c r="Q34" s="11">
        <v>19.508999999999983</v>
      </c>
      <c r="R34" s="11">
        <v>16.002999999999975</v>
      </c>
      <c r="S34" s="11">
        <v>15.483000000000008</v>
      </c>
      <c r="T34" s="11">
        <v>15.782999999999992</v>
      </c>
      <c r="U34" s="11">
        <v>15.80899999999999</v>
      </c>
      <c r="V34" s="11">
        <v>15.454000000000013</v>
      </c>
      <c r="W34" s="11">
        <v>15.280999999999985</v>
      </c>
      <c r="X34" s="11">
        <v>15.059999999999999</v>
      </c>
      <c r="Y34" s="11">
        <v>15.226000000000004</v>
      </c>
      <c r="Z34" s="11">
        <v>15.335999999999983</v>
      </c>
      <c r="AA34" s="11">
        <v>15.471999999999982</v>
      </c>
      <c r="AB34" s="11">
        <v>15.55399999999999</v>
      </c>
      <c r="AC34" s="11">
        <v>15.617000000000004</v>
      </c>
      <c r="AD34" s="11">
        <v>15.683000000000041</v>
      </c>
      <c r="AE34" s="11">
        <v>15.74899999999997</v>
      </c>
      <c r="AF34" s="11">
        <v>15.814999999999996</v>
      </c>
      <c r="AG34" s="11">
        <v>15.882000000000016</v>
      </c>
      <c r="AH34" s="11">
        <v>15.949999999999992</v>
      </c>
      <c r="AI34" s="11">
        <v>16.019999999999996</v>
      </c>
      <c r="AJ34" s="11">
        <v>16.089000000000059</v>
      </c>
      <c r="AK34" s="150">
        <v>16.156999999999961</v>
      </c>
      <c r="AL34" s="11">
        <v>16.224999999999966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>
      <c r="L35" s="65" t="str">
        <f>'Ind T4'!A37</f>
        <v>Education</v>
      </c>
      <c r="M35" s="11">
        <v>44.774000000000044</v>
      </c>
      <c r="N35" s="11">
        <v>46.041000000000039</v>
      </c>
      <c r="O35" s="11">
        <v>42.84099999999993</v>
      </c>
      <c r="P35" s="11">
        <v>43.630000000000074</v>
      </c>
      <c r="Q35" s="11">
        <v>43.495999999999967</v>
      </c>
      <c r="R35" s="11">
        <v>44.810000000000123</v>
      </c>
      <c r="S35" s="11">
        <v>44.828999999999944</v>
      </c>
      <c r="T35" s="11">
        <v>44.91799999999995</v>
      </c>
      <c r="U35" s="11">
        <v>44.049000000000042</v>
      </c>
      <c r="V35" s="11">
        <v>44.405000000000058</v>
      </c>
      <c r="W35" s="11">
        <v>45.063000000000045</v>
      </c>
      <c r="X35" s="11">
        <v>45.227999999999966</v>
      </c>
      <c r="Y35" s="11">
        <v>45.41100000000003</v>
      </c>
      <c r="Z35" s="11">
        <v>45.672000000000018</v>
      </c>
      <c r="AA35" s="11">
        <v>45.97</v>
      </c>
      <c r="AB35" s="11">
        <v>46.277999999999977</v>
      </c>
      <c r="AC35" s="11">
        <v>46.514000000000038</v>
      </c>
      <c r="AD35" s="11">
        <v>46.759000000000007</v>
      </c>
      <c r="AE35" s="11">
        <v>47.013000000000012</v>
      </c>
      <c r="AF35" s="11">
        <v>47.281000000000077</v>
      </c>
      <c r="AG35" s="11">
        <v>47.588000000000143</v>
      </c>
      <c r="AH35" s="11">
        <v>47.899000000000008</v>
      </c>
      <c r="AI35" s="11">
        <v>48.213000000000036</v>
      </c>
      <c r="AJ35" s="11">
        <v>48.528999999999876</v>
      </c>
      <c r="AK35" s="150">
        <v>48.84500000000002</v>
      </c>
      <c r="AL35" s="11">
        <v>49.163999999999959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>
      <c r="L36" s="65" t="str">
        <f>'Ind T4'!A38</f>
        <v>Health and social work</v>
      </c>
      <c r="M36" s="11">
        <v>65.001000000000062</v>
      </c>
      <c r="N36" s="11">
        <v>66.14400000000002</v>
      </c>
      <c r="O36" s="11">
        <v>67.058999999999983</v>
      </c>
      <c r="P36" s="11">
        <v>67.074999999999989</v>
      </c>
      <c r="Q36" s="11">
        <v>67.581000000000031</v>
      </c>
      <c r="R36" s="11">
        <v>60.867000000000125</v>
      </c>
      <c r="S36" s="11">
        <v>68.400999999999868</v>
      </c>
      <c r="T36" s="11">
        <v>71.836999999999989</v>
      </c>
      <c r="U36" s="11">
        <v>68.28900000000003</v>
      </c>
      <c r="V36" s="11">
        <v>72.829999999999927</v>
      </c>
      <c r="W36" s="11">
        <v>71.770000000000039</v>
      </c>
      <c r="X36" s="11">
        <v>73.095000000000056</v>
      </c>
      <c r="Y36" s="11">
        <v>74.036999999999892</v>
      </c>
      <c r="Z36" s="11">
        <v>74.833000000000069</v>
      </c>
      <c r="AA36" s="11">
        <v>75.818000000000083</v>
      </c>
      <c r="AB36" s="11">
        <v>76.515000000000086</v>
      </c>
      <c r="AC36" s="11">
        <v>77.04800000000013</v>
      </c>
      <c r="AD36" s="11">
        <v>77.535999999999916</v>
      </c>
      <c r="AE36" s="11">
        <v>78.006999999999962</v>
      </c>
      <c r="AF36" s="11">
        <v>78.471999999999895</v>
      </c>
      <c r="AG36" s="11">
        <v>78.930000000000078</v>
      </c>
      <c r="AH36" s="11">
        <v>79.384000000000086</v>
      </c>
      <c r="AI36" s="11">
        <v>79.835000000000065</v>
      </c>
      <c r="AJ36" s="11">
        <v>80.287000000000049</v>
      </c>
      <c r="AK36" s="150">
        <v>80.74200000000009</v>
      </c>
      <c r="AL36" s="11">
        <v>81.203000000000074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>
      <c r="L37" s="366"/>
      <c r="AH37" s="11"/>
      <c r="AI37" s="11"/>
      <c r="AJ37" s="11"/>
      <c r="AK37" s="150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>
      <c r="L38" s="1" t="str">
        <f>'Ind T4'!A40</f>
        <v>All industries</v>
      </c>
      <c r="M38" s="11">
        <f>SUM(M5,M11,M16,M18,M23,M33)</f>
        <v>486.12399999999997</v>
      </c>
      <c r="N38" s="11">
        <f t="shared" ref="N38:AL38" si="21">SUM(N5,N11,N16,N18,N23,N33)</f>
        <v>480.09300000000019</v>
      </c>
      <c r="O38" s="11">
        <f t="shared" si="21"/>
        <v>487.18799999999987</v>
      </c>
      <c r="P38" s="11">
        <f t="shared" si="21"/>
        <v>480.6479999999998</v>
      </c>
      <c r="Q38" s="11">
        <f t="shared" si="21"/>
        <v>488.96499999999992</v>
      </c>
      <c r="R38" s="11">
        <f t="shared" si="21"/>
        <v>505.56199999999995</v>
      </c>
      <c r="S38" s="11">
        <f t="shared" si="21"/>
        <v>503.93899999999962</v>
      </c>
      <c r="T38" s="11">
        <f t="shared" si="21"/>
        <v>512.15299999999991</v>
      </c>
      <c r="U38" s="11">
        <f t="shared" si="21"/>
        <v>510.73500000000013</v>
      </c>
      <c r="V38" s="11">
        <f t="shared" si="21"/>
        <v>509.93099999999993</v>
      </c>
      <c r="W38" s="11">
        <f t="shared" si="21"/>
        <v>496.19400000000019</v>
      </c>
      <c r="X38" s="11">
        <f t="shared" si="21"/>
        <v>500.11500000000001</v>
      </c>
      <c r="Y38" s="11">
        <f t="shared" si="21"/>
        <v>501.57899999999978</v>
      </c>
      <c r="Z38" s="11">
        <f t="shared" si="21"/>
        <v>503.44900000000024</v>
      </c>
      <c r="AA38" s="11">
        <f t="shared" si="21"/>
        <v>506.20599999999985</v>
      </c>
      <c r="AB38" s="11">
        <f t="shared" si="21"/>
        <v>508.12800000000038</v>
      </c>
      <c r="AC38" s="11">
        <f t="shared" si="21"/>
        <v>509.56499999999994</v>
      </c>
      <c r="AD38" s="11">
        <f t="shared" si="21"/>
        <v>510.77499999999992</v>
      </c>
      <c r="AE38" s="11">
        <f t="shared" si="21"/>
        <v>511.99799999999959</v>
      </c>
      <c r="AF38" s="11">
        <f t="shared" si="21"/>
        <v>513.22200000000043</v>
      </c>
      <c r="AG38" s="11">
        <f t="shared" si="21"/>
        <v>514.65600000000029</v>
      </c>
      <c r="AH38" s="11">
        <f t="shared" si="21"/>
        <v>516.06299999999976</v>
      </c>
      <c r="AI38" s="11">
        <f t="shared" si="21"/>
        <v>517.49700000000007</v>
      </c>
      <c r="AJ38" s="11">
        <f t="shared" si="21"/>
        <v>518.96699999999964</v>
      </c>
      <c r="AK38" s="11">
        <f t="shared" si="21"/>
        <v>520.44199999999978</v>
      </c>
      <c r="AL38" s="11">
        <f t="shared" si="21"/>
        <v>521.94399999999951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>
      <c r="A47" s="62" t="str">
        <f>CONCATENATE("Industry Figure 2.1  Change in Employment in ",$L$5,", ",$M$2,"-",$O$2,", ",Info!B5)</f>
        <v>Industry Figure 2.1  Change in Employment in Primary sector and utilities, 2010-2035, Black Country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>
      <c r="A77" s="62" t="str">
        <f>CONCATENATE("Industry Figure 2.2  Change in Employment in ",$L$11,", ",$M$2,"-",$O$2,", ",Info!B5)</f>
        <v>Industry Figure 2.2  Change in Employment in Manufacturing, 2010-2035, Black Country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>
      <c r="AL79" s="11"/>
    </row>
    <row r="107" spans="1:1" ht="15.75">
      <c r="A107" s="62" t="str">
        <f>CONCATENATE("Industry Figure 2.3  Change in Employment in ",$L$16,", ",$M$2,"-",$O$2,", ",Info!B5)</f>
        <v>Industry Figure 2.3  Change in Employment in Construction, 2010-2035, Black Country</v>
      </c>
    </row>
    <row r="137" spans="1:1" ht="15.75">
      <c r="A137" s="62" t="str">
        <f>CONCATENATE("Industry Figure 2.4  Change in Employment in ",$L$18,", ",$M$2,"-",$O$2,", ",Info!B5)</f>
        <v>Industry Figure 2.4  Change in Employment in Trade, accomod. and transport, 2010-2035, Black Country</v>
      </c>
    </row>
    <row r="167" spans="1:1" ht="15.75">
      <c r="A167" s="62" t="str">
        <f>CONCATENATE("Industry Figure 2.5  Change in Employment in ",$L$23,", ",$M$2,"- ",$O$2,", ",Info!B5)</f>
        <v>Industry Figure 2.5  Change in Employment in Business and other services, 2010- 2035, Black Country</v>
      </c>
    </row>
    <row r="197" spans="1:1" ht="15.75">
      <c r="A197" s="62" t="str">
        <f>CONCATENATE("Industry Figure 2.6  Change in Employment in ",$L$33,", ",$M$2,"-",$O$2,", ",Info!B5)</f>
        <v>Industry Figure 2.6  Change in Employment in Non-marketed services, 2010-2035, Black Country</v>
      </c>
    </row>
    <row r="227" spans="1:15" ht="15.75">
      <c r="A227" s="62" t="str">
        <f>CONCATENATE("Industry Figure 2.7  Employment trends by broad sector (SIC 2007), shares in %, ",$M$230,"-",$O$230,", ",Info!B5)</f>
        <v>Industry Figure 2.7  Employment trends by broad sector (SIC 2007), shares in %, 2015-2035, Black Country</v>
      </c>
      <c r="L227" s="36" t="s">
        <v>148</v>
      </c>
    </row>
    <row r="228" spans="1:15">
      <c r="L228" s="25" t="s">
        <v>149</v>
      </c>
    </row>
    <row r="230" spans="1:15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>
      <c r="L231" t="str">
        <f>L33</f>
        <v>Non-marketed services</v>
      </c>
      <c r="M231" s="31">
        <f>'Ind T1'!B25</f>
        <v>24.06826462431912</v>
      </c>
      <c r="N231" s="31">
        <f>'Ind T1'!D25</f>
        <v>26.625473101246694</v>
      </c>
      <c r="O231" s="31">
        <f>'Ind T1'!F25</f>
        <v>28.085771653664015</v>
      </c>
    </row>
    <row r="232" spans="1:15">
      <c r="L232" t="str">
        <f>L23</f>
        <v>Business and other services</v>
      </c>
      <c r="M232" s="31">
        <f>'Ind T1'!B24</f>
        <v>24.397996684877448</v>
      </c>
      <c r="N232" s="31">
        <f>'Ind T1'!D24</f>
        <v>22.454523835435332</v>
      </c>
      <c r="O232" s="31">
        <f>'Ind T1'!F24</f>
        <v>22.590929295096814</v>
      </c>
    </row>
    <row r="233" spans="1:15">
      <c r="L233" t="str">
        <f>L18</f>
        <v>Trade, accomod. and transport</v>
      </c>
      <c r="M233" s="31">
        <f>'Ind T1'!B23</f>
        <v>29.161408491935681</v>
      </c>
      <c r="N233" s="31">
        <f>'Ind T1'!D23</f>
        <v>29.166817817224739</v>
      </c>
      <c r="O233" s="31">
        <f>'Ind T1'!F23</f>
        <v>29.879833851907456</v>
      </c>
    </row>
    <row r="234" spans="1:15">
      <c r="L234" t="str">
        <f>L16</f>
        <v>Construction</v>
      </c>
      <c r="M234" s="31">
        <f>'Ind T1'!B22</f>
        <v>6.2827111214845992</v>
      </c>
      <c r="N234" s="31">
        <f>'Ind T1'!D22</f>
        <v>7.4597838748553773</v>
      </c>
      <c r="O234" s="31">
        <f>'Ind T1'!F22</f>
        <v>7.1750992443633725</v>
      </c>
    </row>
    <row r="235" spans="1:15">
      <c r="L235" t="str">
        <f>L11</f>
        <v>Manufacturing</v>
      </c>
      <c r="M235" s="31">
        <f>'Ind T1'!B21</f>
        <v>13.580727981928991</v>
      </c>
      <c r="N235" s="31">
        <f>'Ind T1'!D21</f>
        <v>12.873795330052362</v>
      </c>
      <c r="O235" s="31">
        <f>'Ind T1'!F21</f>
        <v>10.899636742639061</v>
      </c>
    </row>
    <row r="236" spans="1:15">
      <c r="L236" t="str">
        <f>L5</f>
        <v>Primary sector and utilities</v>
      </c>
      <c r="M236" s="31">
        <f>'Ind T1'!B20</f>
        <v>2.5088910954541648</v>
      </c>
      <c r="N236" s="31">
        <f>'Ind T1'!D20</f>
        <v>1.4196060411855025</v>
      </c>
      <c r="O236" s="31">
        <f>'Ind T1'!F20</f>
        <v>1.3687292123292913</v>
      </c>
    </row>
    <row r="257" spans="1:16" ht="15.75">
      <c r="A257" s="62" t="str">
        <f>CONCATENATE("Industry Figure 2.8  Employment trends by broad sector (SIC 2007), change in thousands, ",$M$230,"-",$O$230,", ",Info!B5)</f>
        <v>Industry Figure 2.8  Employment trends by broad sector (SIC 2007), change in thousands, 2015-2035, Black Country</v>
      </c>
      <c r="L257" s="36" t="s">
        <v>150</v>
      </c>
    </row>
    <row r="258" spans="1:16">
      <c r="L258" s="25" t="s">
        <v>151</v>
      </c>
      <c r="M258" s="10"/>
      <c r="N258" s="10"/>
      <c r="O258" s="10"/>
    </row>
    <row r="259" spans="1:16">
      <c r="P259" s="10"/>
    </row>
    <row r="260" spans="1:16">
      <c r="N260" s="10" t="str">
        <f>'Ind T1'!R4</f>
        <v>2015-2020</v>
      </c>
      <c r="O260" s="10" t="str">
        <f>'Ind T1'!F44</f>
        <v>2020-2035</v>
      </c>
      <c r="P260" s="11"/>
    </row>
    <row r="261" spans="1:16">
      <c r="L261" t="str">
        <f t="shared" ref="L261:L266" si="22">L231</f>
        <v>Non-marketed services</v>
      </c>
      <c r="N261" s="11">
        <f>'Ind T1'!D12-'Ind T1'!B12</f>
        <v>10.433999999999827</v>
      </c>
      <c r="O261" s="11">
        <f>'Ind T1'!F50</f>
        <v>14.477999999999923</v>
      </c>
      <c r="P261" s="11"/>
    </row>
    <row r="262" spans="1:16">
      <c r="L262" t="str">
        <f t="shared" si="22"/>
        <v>Business and other services</v>
      </c>
      <c r="N262" s="11">
        <f>'Ind T1'!D11-'Ind T1'!B11</f>
        <v>-11.929000000000102</v>
      </c>
      <c r="O262" s="11">
        <f>'Ind T1'!F49</f>
        <v>6.4939999999999714</v>
      </c>
      <c r="P262" s="11"/>
    </row>
    <row r="263" spans="1:16">
      <c r="L263" t="str">
        <f t="shared" si="22"/>
        <v>Trade, accomod. and transport</v>
      </c>
      <c r="N263" s="11">
        <f>'Ind T1'!D10-'Ind T1'!B10</f>
        <v>-2.7049999999996999</v>
      </c>
      <c r="O263" s="11">
        <f>'Ind T1'!F48</f>
        <v>11.231999999999545</v>
      </c>
      <c r="P263" s="11"/>
    </row>
    <row r="264" spans="1:16">
      <c r="L264" t="str">
        <f t="shared" si="22"/>
        <v>Construction</v>
      </c>
      <c r="N264" s="11">
        <f>'Ind T1'!D9-'Ind T1'!B9</f>
        <v>5.251999999999942</v>
      </c>
      <c r="O264" s="11">
        <f>'Ind T1'!F47</f>
        <v>0.43500000000001648</v>
      </c>
      <c r="P264" s="11"/>
    </row>
    <row r="265" spans="1:16">
      <c r="L265" t="str">
        <f t="shared" si="22"/>
        <v>Manufacturing</v>
      </c>
      <c r="N265" s="11">
        <f>'Ind T1'!D8-'Ind T1'!B8</f>
        <v>-4.7799999999998022</v>
      </c>
      <c r="O265" s="11">
        <f>'Ind T1'!F46</f>
        <v>-6.9890000000000896</v>
      </c>
      <c r="P265" s="11"/>
    </row>
    <row r="266" spans="1:16">
      <c r="L266" t="str">
        <f t="shared" si="22"/>
        <v>Primary sector and utilities</v>
      </c>
      <c r="N266" s="11">
        <f>'Ind T1'!D7-'Ind T1'!B7</f>
        <v>-5.6399999999999881</v>
      </c>
      <c r="O266" s="11">
        <f>'Ind T1'!F45</f>
        <v>9.9999999999995204E-2</v>
      </c>
    </row>
    <row r="268" spans="1:16">
      <c r="L268" t="str">
        <f>L38</f>
        <v>All industries</v>
      </c>
      <c r="N268" s="11">
        <f>'Ind T1'!D14-'Ind T1'!B14</f>
        <v>-9.3679999999997676</v>
      </c>
      <c r="O268" s="11">
        <f>SUM(O261:O266)</f>
        <v>25.749999999999361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>
      <c r="A1" s="18" t="str">
        <f>CONCATENATE("Industry and Occupation Table 1  Occupation composition (SOC2020) by gender, ",B$6,"-",J$6,", ",Info!B5)</f>
        <v>Industry and Occupation Table 1  Occupation composition (SOC2020) by gender, 2015-2035, Black Country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24"/>
      <c r="M1" s="212"/>
      <c r="N1" s="212"/>
    </row>
    <row r="2" spans="1:14">
      <c r="A2" s="234" t="s">
        <v>152</v>
      </c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24"/>
      <c r="M2" s="212"/>
      <c r="N2" s="212"/>
    </row>
    <row r="3" spans="1:14">
      <c r="A3" s="212"/>
      <c r="B3" s="212"/>
      <c r="C3" s="212"/>
      <c r="D3" s="212"/>
      <c r="E3" s="212"/>
      <c r="F3" s="212"/>
      <c r="G3" s="212"/>
      <c r="H3" s="212"/>
      <c r="I3" s="212"/>
      <c r="J3" s="212"/>
      <c r="K3" s="212"/>
      <c r="L3" s="224"/>
      <c r="M3" s="212"/>
      <c r="N3" s="212"/>
    </row>
    <row r="4" spans="1:14">
      <c r="A4" s="212"/>
      <c r="B4" s="212"/>
      <c r="C4" s="212"/>
      <c r="D4" s="212"/>
      <c r="E4" s="212"/>
      <c r="F4" s="212"/>
      <c r="G4" s="212"/>
      <c r="H4" s="212"/>
      <c r="I4" s="212"/>
      <c r="J4" s="212"/>
      <c r="K4" s="212"/>
      <c r="L4" s="227" t="s">
        <v>112</v>
      </c>
      <c r="M4" s="212"/>
      <c r="N4" s="212"/>
    </row>
    <row r="5" spans="1:14">
      <c r="A5" s="218"/>
      <c r="B5" s="218"/>
      <c r="C5" s="219"/>
      <c r="D5" s="219"/>
      <c r="E5" s="219"/>
      <c r="F5" s="219"/>
      <c r="G5" s="219"/>
      <c r="H5" s="219"/>
      <c r="I5" s="219"/>
      <c r="J5" s="219"/>
      <c r="K5" s="219"/>
      <c r="L5" s="212"/>
      <c r="M5" s="212"/>
      <c r="N5" s="212"/>
    </row>
    <row r="6" spans="1:14">
      <c r="A6" s="217" t="s">
        <v>153</v>
      </c>
      <c r="B6" s="347">
        <v>2015</v>
      </c>
      <c r="C6" s="348"/>
      <c r="D6" s="348"/>
      <c r="E6" s="222"/>
      <c r="F6" s="347">
        <v>2020</v>
      </c>
      <c r="G6" s="347"/>
      <c r="H6" s="347"/>
      <c r="I6" s="222"/>
      <c r="J6" s="347">
        <v>2035</v>
      </c>
      <c r="K6" s="347"/>
      <c r="L6" s="347"/>
      <c r="M6" s="212"/>
      <c r="N6" s="212"/>
    </row>
    <row r="7" spans="1:14">
      <c r="A7" s="228"/>
      <c r="B7" s="221" t="s">
        <v>154</v>
      </c>
      <c r="C7" s="221" t="s">
        <v>155</v>
      </c>
      <c r="D7" s="221" t="s">
        <v>117</v>
      </c>
      <c r="E7" s="221"/>
      <c r="F7" s="221" t="s">
        <v>154</v>
      </c>
      <c r="G7" s="221" t="s">
        <v>155</v>
      </c>
      <c r="H7" s="221" t="s">
        <v>117</v>
      </c>
      <c r="I7" s="221"/>
      <c r="J7" s="221" t="s">
        <v>154</v>
      </c>
      <c r="K7" s="221" t="s">
        <v>155</v>
      </c>
      <c r="L7" s="221" t="s">
        <v>117</v>
      </c>
      <c r="M7" s="212"/>
      <c r="N7" s="212"/>
    </row>
    <row r="8" spans="1:14">
      <c r="A8" s="212"/>
      <c r="B8" s="233"/>
      <c r="C8" s="233"/>
      <c r="D8" s="233"/>
      <c r="E8" s="233"/>
      <c r="F8" s="233"/>
      <c r="G8" s="233"/>
      <c r="H8" s="233"/>
      <c r="I8" s="233"/>
      <c r="J8" s="233"/>
      <c r="K8" s="233"/>
      <c r="L8" s="233"/>
      <c r="M8" s="212"/>
      <c r="N8" s="212"/>
    </row>
    <row r="9" spans="1:14">
      <c r="A9" s="213" t="str">
        <f>name!E$4</f>
        <v>Managers, directors and senior officials</v>
      </c>
      <c r="B9" s="225">
        <f>SUM(B26,B43,B60,B77,B94,B111,B128,B145,B162,B179,B196,B213,B230,B247,B264,B281,B298,B315,B332,B349,B366,B383)</f>
        <v>13.35849579741118</v>
      </c>
      <c r="C9" s="225">
        <f>SUM(C26,C43,C60,C77,C94,C111,C128,C145,C162,C179,C196,C213,C230,C247,C264,C281,C298,C315,C332,C349,C366,C383)</f>
        <v>29.03422481858918</v>
      </c>
      <c r="D9" s="225">
        <f>SUM(B9:C9)</f>
        <v>42.392720616000361</v>
      </c>
      <c r="E9" s="214"/>
      <c r="F9" s="225">
        <f>SUM(F26,F43,F60,F77,F94,F111,F128,F145,F162,F179,F196,F213,F230,F247,F264,F281,F298,F315,F332,F349,F366,F383)</f>
        <v>16.872182176572629</v>
      </c>
      <c r="G9" s="225">
        <f>SUM(G26,G43,G60,G77,G94,G111,G128,G145,G162,G179,G196,G213,G230,G247,G264,G281,G298,G315,G332,G349,G366,G383)</f>
        <v>30.928185315803244</v>
      </c>
      <c r="H9" s="225">
        <f>SUM(F9:G9)</f>
        <v>47.800367492375869</v>
      </c>
      <c r="I9" s="214"/>
      <c r="J9" s="225">
        <f>SUM(J26,J43,J60,J77,J94,J111,J128,J145,J162,J179,J196,J213,J230,J247,J264,J281,J298,J315,J332,J349,J366,J383)</f>
        <v>18.655201057778235</v>
      </c>
      <c r="K9" s="225">
        <f>SUM(K26,K43,K60,K77,K94,K111,K128,K145,K162,K179,K196,K213,K230,K247,K264,K281,K298,K315,K332,K349,K366,K383)</f>
        <v>30.570978228755934</v>
      </c>
      <c r="L9" s="225">
        <f>SUM(J9:K9)</f>
        <v>49.226179286534169</v>
      </c>
      <c r="M9" s="212"/>
      <c r="N9" s="212"/>
    </row>
    <row r="10" spans="1:14">
      <c r="A10" s="213" t="str">
        <f>name!E$5</f>
        <v>Professional occupations</v>
      </c>
      <c r="B10" s="225">
        <f t="shared" ref="B10:C17" si="0">SUM(B27,B44,B61,B78,B95,B112,B129,B146,B163,B180,B197,B214,B231,B248,B265,B282,B299,B316,B333,B350,B367,B384)</f>
        <v>42.179446477363385</v>
      </c>
      <c r="C10" s="225">
        <f t="shared" si="0"/>
        <v>45.534461167396941</v>
      </c>
      <c r="D10" s="225">
        <f t="shared" ref="D10:D17" si="1">SUM(B10:C10)</f>
        <v>87.713907644760326</v>
      </c>
      <c r="E10" s="214"/>
      <c r="F10" s="225">
        <f t="shared" ref="F10:G17" si="2">SUM(F27,F44,F61,F78,F95,F112,F129,F146,F163,F180,F197,F214,F231,F248,F265,F282,F299,F316,F333,F350,F367,F384)</f>
        <v>51.504287210262234</v>
      </c>
      <c r="G10" s="225">
        <f t="shared" si="2"/>
        <v>52.039546029426255</v>
      </c>
      <c r="H10" s="225">
        <f t="shared" ref="H10:H17" si="3">SUM(F10:G10)</f>
        <v>103.5438332396885</v>
      </c>
      <c r="I10" s="214"/>
      <c r="J10" s="225">
        <f t="shared" ref="J10:K17" si="4">SUM(J27,J44,J61,J78,J95,J112,J129,J146,J163,J180,J197,J214,J231,J248,J265,J282,J299,J316,J333,J350,J367,J384)</f>
        <v>59.973373366994316</v>
      </c>
      <c r="K10" s="225">
        <f t="shared" si="4"/>
        <v>61.765844131556349</v>
      </c>
      <c r="L10" s="225">
        <f t="shared" ref="L10:L17" si="5">SUM(J10:K10)</f>
        <v>121.73921749855066</v>
      </c>
      <c r="M10" s="212"/>
      <c r="N10" s="212"/>
    </row>
    <row r="11" spans="1:14">
      <c r="A11" s="213" t="str">
        <f>name!E$6</f>
        <v>Associate professional occupations</v>
      </c>
      <c r="B11" s="225">
        <f t="shared" si="0"/>
        <v>24.682177996602793</v>
      </c>
      <c r="C11" s="225">
        <f t="shared" si="0"/>
        <v>31.445207367233643</v>
      </c>
      <c r="D11" s="225">
        <f t="shared" si="1"/>
        <v>56.127385363836439</v>
      </c>
      <c r="E11" s="214"/>
      <c r="F11" s="225">
        <f t="shared" si="2"/>
        <v>27.97451993169927</v>
      </c>
      <c r="G11" s="225">
        <f t="shared" si="2"/>
        <v>32.84108207895131</v>
      </c>
      <c r="H11" s="225">
        <f t="shared" si="3"/>
        <v>60.815602010650579</v>
      </c>
      <c r="I11" s="214"/>
      <c r="J11" s="225">
        <f t="shared" si="4"/>
        <v>39.054030262437117</v>
      </c>
      <c r="K11" s="225">
        <f t="shared" si="4"/>
        <v>32.455914389961997</v>
      </c>
      <c r="L11" s="225">
        <f t="shared" si="5"/>
        <v>71.509944652399113</v>
      </c>
      <c r="M11" s="212"/>
      <c r="N11" s="212"/>
    </row>
    <row r="12" spans="1:14">
      <c r="A12" s="213" t="str">
        <f>name!E$7</f>
        <v>Administrative and secretarial occupations</v>
      </c>
      <c r="B12" s="225">
        <f t="shared" si="0"/>
        <v>43.54000420575737</v>
      </c>
      <c r="C12" s="225">
        <f t="shared" si="0"/>
        <v>16.5979485301065</v>
      </c>
      <c r="D12" s="225">
        <f t="shared" si="1"/>
        <v>60.13795273586387</v>
      </c>
      <c r="E12" s="214"/>
      <c r="F12" s="225">
        <f t="shared" si="2"/>
        <v>39.5315581201328</v>
      </c>
      <c r="G12" s="225">
        <f t="shared" si="2"/>
        <v>16.946842163081772</v>
      </c>
      <c r="H12" s="225">
        <f t="shared" si="3"/>
        <v>56.478400283214569</v>
      </c>
      <c r="I12" s="214"/>
      <c r="J12" s="225">
        <f t="shared" si="4"/>
        <v>33.153960101494931</v>
      </c>
      <c r="K12" s="225">
        <f t="shared" si="4"/>
        <v>20.373310794522276</v>
      </c>
      <c r="L12" s="225">
        <f t="shared" si="5"/>
        <v>53.527270896017207</v>
      </c>
      <c r="M12" s="212"/>
      <c r="N12" s="212"/>
    </row>
    <row r="13" spans="1:14">
      <c r="A13" s="213" t="str">
        <f>name!E$8</f>
        <v>Skilled trades occupations</v>
      </c>
      <c r="B13" s="225">
        <f t="shared" si="0"/>
        <v>4.5442185707229301</v>
      </c>
      <c r="C13" s="225">
        <f t="shared" si="0"/>
        <v>56.754509224207396</v>
      </c>
      <c r="D13" s="225">
        <f t="shared" si="1"/>
        <v>61.298727794930329</v>
      </c>
      <c r="E13" s="214"/>
      <c r="F13" s="225">
        <f t="shared" si="2"/>
        <v>4.6853447290247932</v>
      </c>
      <c r="G13" s="225">
        <f t="shared" si="2"/>
        <v>47.547502370028198</v>
      </c>
      <c r="H13" s="225">
        <f t="shared" si="3"/>
        <v>52.232847099052989</v>
      </c>
      <c r="I13" s="214"/>
      <c r="J13" s="225">
        <f t="shared" si="4"/>
        <v>5.0833172722328808</v>
      </c>
      <c r="K13" s="225">
        <f t="shared" si="4"/>
        <v>41.679606455520698</v>
      </c>
      <c r="L13" s="225">
        <f t="shared" si="5"/>
        <v>46.762923727753581</v>
      </c>
      <c r="M13" s="212"/>
      <c r="N13" s="212"/>
    </row>
    <row r="14" spans="1:14">
      <c r="A14" s="213" t="str">
        <f>name!E$9</f>
        <v>Caring, leisure and other service occupations</v>
      </c>
      <c r="B14" s="225">
        <f t="shared" si="0"/>
        <v>42.829199761055989</v>
      </c>
      <c r="C14" s="225">
        <f t="shared" si="0"/>
        <v>7.6489928676305352</v>
      </c>
      <c r="D14" s="225">
        <f t="shared" si="1"/>
        <v>50.478192628686521</v>
      </c>
      <c r="E14" s="214"/>
      <c r="F14" s="225">
        <f t="shared" si="2"/>
        <v>41.988654582911224</v>
      </c>
      <c r="G14" s="225">
        <f t="shared" si="2"/>
        <v>7.349301843223202</v>
      </c>
      <c r="H14" s="225">
        <f t="shared" si="3"/>
        <v>49.337956426134426</v>
      </c>
      <c r="I14" s="214"/>
      <c r="J14" s="225">
        <f t="shared" si="4"/>
        <v>45.249881446215625</v>
      </c>
      <c r="K14" s="225">
        <f t="shared" si="4"/>
        <v>8.6698098845315421</v>
      </c>
      <c r="L14" s="225">
        <f t="shared" si="5"/>
        <v>53.91969133074717</v>
      </c>
      <c r="M14" s="212"/>
      <c r="N14" s="212"/>
    </row>
    <row r="15" spans="1:14">
      <c r="A15" s="213" t="str">
        <f>name!E$10</f>
        <v>Sales and customer service occupations</v>
      </c>
      <c r="B15" s="225">
        <f t="shared" si="0"/>
        <v>25.613356768750482</v>
      </c>
      <c r="C15" s="225">
        <f t="shared" si="0"/>
        <v>17.699134073339778</v>
      </c>
      <c r="D15" s="225">
        <f t="shared" si="1"/>
        <v>43.312490842090256</v>
      </c>
      <c r="E15" s="214"/>
      <c r="F15" s="225">
        <f t="shared" si="2"/>
        <v>22.618405372358858</v>
      </c>
      <c r="G15" s="225">
        <f t="shared" si="2"/>
        <v>16.721380568434249</v>
      </c>
      <c r="H15" s="225">
        <f t="shared" si="3"/>
        <v>39.339785940793107</v>
      </c>
      <c r="I15" s="214"/>
      <c r="J15" s="225">
        <f t="shared" si="4"/>
        <v>21.302637843160692</v>
      </c>
      <c r="K15" s="225">
        <f t="shared" si="4"/>
        <v>17.77844496088888</v>
      </c>
      <c r="L15" s="225">
        <f t="shared" si="5"/>
        <v>39.081082804049572</v>
      </c>
      <c r="M15" s="212"/>
      <c r="N15" s="212"/>
    </row>
    <row r="16" spans="1:14">
      <c r="A16" s="213" t="str">
        <f>name!E$11</f>
        <v>Process, plant and machine operatives</v>
      </c>
      <c r="B16" s="225">
        <f t="shared" si="0"/>
        <v>5.5996129028394135</v>
      </c>
      <c r="C16" s="225">
        <f t="shared" si="0"/>
        <v>41.541071156937683</v>
      </c>
      <c r="D16" s="225">
        <f t="shared" si="1"/>
        <v>47.140684059777094</v>
      </c>
      <c r="E16" s="214"/>
      <c r="F16" s="225">
        <f t="shared" si="2"/>
        <v>5.0496652246549036</v>
      </c>
      <c r="G16" s="225">
        <f t="shared" si="2"/>
        <v>35.308709081343146</v>
      </c>
      <c r="H16" s="225">
        <f t="shared" si="3"/>
        <v>40.358374305998048</v>
      </c>
      <c r="I16" s="214"/>
      <c r="J16" s="225">
        <f t="shared" si="4"/>
        <v>6.175171570509618</v>
      </c>
      <c r="K16" s="225">
        <f t="shared" si="4"/>
        <v>34.024566162099731</v>
      </c>
      <c r="L16" s="225">
        <f t="shared" si="5"/>
        <v>40.19973773260935</v>
      </c>
      <c r="M16" s="212"/>
      <c r="N16" s="212"/>
    </row>
    <row r="17" spans="1:14">
      <c r="A17" s="213" t="str">
        <f>name!E$12</f>
        <v>Elementary occupations</v>
      </c>
      <c r="B17" s="225">
        <f t="shared" si="0"/>
        <v>24.742485044320901</v>
      </c>
      <c r="C17" s="225">
        <f t="shared" si="0"/>
        <v>32.217453269733944</v>
      </c>
      <c r="D17" s="225">
        <f t="shared" si="1"/>
        <v>56.959938314054845</v>
      </c>
      <c r="E17" s="214"/>
      <c r="F17" s="225">
        <f t="shared" si="2"/>
        <v>20.869978248242035</v>
      </c>
      <c r="G17" s="225">
        <f t="shared" si="2"/>
        <v>25.41685495384985</v>
      </c>
      <c r="H17" s="225">
        <f t="shared" si="3"/>
        <v>46.286833202091884</v>
      </c>
      <c r="I17" s="214"/>
      <c r="J17" s="225">
        <f t="shared" si="4"/>
        <v>19.851959073042799</v>
      </c>
      <c r="K17" s="225">
        <f t="shared" si="4"/>
        <v>26.125992998296038</v>
      </c>
      <c r="L17" s="225">
        <f t="shared" si="5"/>
        <v>45.977952071338834</v>
      </c>
      <c r="M17" s="212"/>
      <c r="N17" s="212"/>
    </row>
    <row r="18" spans="1:14">
      <c r="A18" s="213"/>
      <c r="B18" s="225"/>
      <c r="C18" s="225"/>
      <c r="D18" s="225"/>
      <c r="E18" s="214"/>
      <c r="F18" s="225"/>
      <c r="G18" s="225"/>
      <c r="H18" s="225"/>
      <c r="I18" s="214"/>
      <c r="J18" s="225"/>
      <c r="K18" s="225"/>
      <c r="L18" s="225"/>
      <c r="M18" s="212"/>
      <c r="N18" s="212"/>
    </row>
    <row r="19" spans="1:14">
      <c r="A19" s="220" t="s">
        <v>117</v>
      </c>
      <c r="B19" s="223">
        <f>SUM(B9:B17)</f>
        <v>227.08899752482449</v>
      </c>
      <c r="C19" s="223">
        <f t="shared" ref="C19:L19" si="6">SUM(C9:C17)</f>
        <v>278.47300247517558</v>
      </c>
      <c r="D19" s="223">
        <f t="shared" si="6"/>
        <v>505.56200000000007</v>
      </c>
      <c r="E19" s="223"/>
      <c r="F19" s="223">
        <f t="shared" si="6"/>
        <v>231.09459559585875</v>
      </c>
      <c r="G19" s="223">
        <f t="shared" si="6"/>
        <v>265.0994044041413</v>
      </c>
      <c r="H19" s="223">
        <f t="shared" si="6"/>
        <v>496.19399999999996</v>
      </c>
      <c r="I19" s="223"/>
      <c r="J19" s="223">
        <f t="shared" si="6"/>
        <v>248.49953199386619</v>
      </c>
      <c r="K19" s="223">
        <f t="shared" si="6"/>
        <v>273.44446800613349</v>
      </c>
      <c r="L19" s="223">
        <f t="shared" si="6"/>
        <v>521.94399999999962</v>
      </c>
      <c r="M19" s="212"/>
      <c r="N19" s="212"/>
    </row>
    <row r="20" spans="1:14">
      <c r="A20" s="213"/>
      <c r="B20" s="214"/>
      <c r="C20" s="214"/>
      <c r="D20" s="214"/>
      <c r="E20" s="214"/>
      <c r="F20" s="214"/>
      <c r="G20" s="214"/>
      <c r="H20" s="214"/>
      <c r="I20" s="214"/>
      <c r="J20" s="214"/>
      <c r="K20" s="214"/>
      <c r="L20" s="215"/>
      <c r="M20" s="212"/>
      <c r="N20" s="212"/>
    </row>
    <row r="21" spans="1:14">
      <c r="A21" s="213"/>
      <c r="B21" s="213"/>
      <c r="C21" s="213"/>
      <c r="D21" s="213"/>
      <c r="E21" s="213"/>
      <c r="F21" s="213"/>
      <c r="G21" s="213"/>
      <c r="H21" s="213"/>
      <c r="I21" s="213"/>
      <c r="J21" s="213"/>
      <c r="K21" s="213"/>
      <c r="L21" s="232" t="s">
        <v>112</v>
      </c>
      <c r="M21" s="212"/>
      <c r="N21" s="212"/>
    </row>
    <row r="22" spans="1:14">
      <c r="A22" s="218"/>
      <c r="B22" s="226"/>
      <c r="C22" s="226"/>
      <c r="D22" s="226"/>
      <c r="E22" s="226"/>
      <c r="F22" s="226"/>
      <c r="G22" s="226"/>
      <c r="H22" s="226"/>
      <c r="I22" s="226"/>
      <c r="J22" s="226"/>
      <c r="K22" s="226"/>
      <c r="L22" s="212"/>
      <c r="M22" s="212"/>
      <c r="N22" s="212"/>
    </row>
    <row r="23" spans="1:14">
      <c r="A23" s="217" t="str">
        <f>name!B4</f>
        <v>Agriculture</v>
      </c>
      <c r="B23" s="347">
        <f>B$6</f>
        <v>2015</v>
      </c>
      <c r="C23" s="347"/>
      <c r="D23" s="347"/>
      <c r="E23" s="229"/>
      <c r="F23" s="347">
        <f>F$6</f>
        <v>2020</v>
      </c>
      <c r="G23" s="347"/>
      <c r="H23" s="347"/>
      <c r="I23" s="229"/>
      <c r="J23" s="347">
        <f>J$6</f>
        <v>2035</v>
      </c>
      <c r="K23" s="347"/>
      <c r="L23" s="347"/>
      <c r="M23" s="212"/>
      <c r="N23" s="212"/>
    </row>
    <row r="24" spans="1:14">
      <c r="A24" s="230"/>
      <c r="B24" s="231" t="s">
        <v>154</v>
      </c>
      <c r="C24" s="231" t="s">
        <v>155</v>
      </c>
      <c r="D24" s="231" t="s">
        <v>117</v>
      </c>
      <c r="E24" s="231"/>
      <c r="F24" s="231" t="s">
        <v>154</v>
      </c>
      <c r="G24" s="231" t="s">
        <v>155</v>
      </c>
      <c r="H24" s="231" t="s">
        <v>117</v>
      </c>
      <c r="I24" s="231"/>
      <c r="J24" s="231" t="s">
        <v>154</v>
      </c>
      <c r="K24" s="231" t="s">
        <v>155</v>
      </c>
      <c r="L24" s="231" t="s">
        <v>117</v>
      </c>
      <c r="M24" s="212"/>
      <c r="N24" s="212"/>
    </row>
    <row r="25" spans="1:14">
      <c r="A25" s="234"/>
      <c r="B25" s="235"/>
      <c r="C25" s="235"/>
      <c r="D25" s="235"/>
      <c r="E25" s="235"/>
      <c r="F25" s="235"/>
      <c r="G25" s="235"/>
      <c r="H25" s="235"/>
      <c r="I25" s="235"/>
      <c r="J25" s="235"/>
      <c r="K25" s="235"/>
      <c r="L25" s="235"/>
      <c r="M25" s="212"/>
      <c r="N25" s="212"/>
    </row>
    <row r="26" spans="1:14">
      <c r="A26" s="213" t="str">
        <f>name!E$4</f>
        <v>Managers, directors and senior officials</v>
      </c>
      <c r="B26" s="278">
        <v>3.4166716469685991E-2</v>
      </c>
      <c r="C26" s="278">
        <v>0.12197493785867468</v>
      </c>
      <c r="D26" s="278">
        <f>SUM(B26:C26)</f>
        <v>0.15614165432836066</v>
      </c>
      <c r="E26" s="279"/>
      <c r="F26" s="278">
        <v>2.3144952135252018E-2</v>
      </c>
      <c r="G26" s="278">
        <v>5.1717113582926841E-2</v>
      </c>
      <c r="H26" s="278">
        <f>SUM(F26:G26)</f>
        <v>7.4862065718178855E-2</v>
      </c>
      <c r="I26" s="279"/>
      <c r="J26" s="278">
        <v>2.577003371245214E-2</v>
      </c>
      <c r="K26" s="278">
        <v>6.3514428950488255E-2</v>
      </c>
      <c r="L26" s="278">
        <f>SUM(J26:K26)</f>
        <v>8.9284462662940392E-2</v>
      </c>
      <c r="M26" s="212"/>
      <c r="N26" s="212"/>
    </row>
    <row r="27" spans="1:14">
      <c r="A27" s="213" t="str">
        <f>name!E$5</f>
        <v>Professional occupations</v>
      </c>
      <c r="B27" s="278">
        <v>3.207357490652344E-2</v>
      </c>
      <c r="C27" s="278">
        <v>9.7542779476116129E-2</v>
      </c>
      <c r="D27" s="278">
        <f t="shared" ref="D27:D34" si="7">SUM(B27:C27)</f>
        <v>0.12961635438263958</v>
      </c>
      <c r="E27" s="279"/>
      <c r="F27" s="278">
        <v>2.8878031745963217E-2</v>
      </c>
      <c r="G27" s="278">
        <v>5.724078512448149E-2</v>
      </c>
      <c r="H27" s="278">
        <f t="shared" ref="H27:H34" si="8">SUM(F27:G27)</f>
        <v>8.6118816870444703E-2</v>
      </c>
      <c r="I27" s="279"/>
      <c r="J27" s="278">
        <v>4.9375884233187915E-2</v>
      </c>
      <c r="K27" s="278">
        <v>0.11579435441003494</v>
      </c>
      <c r="L27" s="278">
        <f t="shared" ref="L27:L34" si="9">SUM(J27:K27)</f>
        <v>0.16517023864322286</v>
      </c>
      <c r="M27" s="212"/>
      <c r="N27" s="212"/>
    </row>
    <row r="28" spans="1:14">
      <c r="A28" s="213" t="str">
        <f>name!E$6</f>
        <v>Associate professional occupations</v>
      </c>
      <c r="B28" s="278">
        <v>3.4362562569869186E-2</v>
      </c>
      <c r="C28" s="278">
        <v>6.8015292161640734E-2</v>
      </c>
      <c r="D28" s="278">
        <f t="shared" si="7"/>
        <v>0.10237785473150993</v>
      </c>
      <c r="E28" s="279"/>
      <c r="F28" s="278">
        <v>2.4015970346636585E-2</v>
      </c>
      <c r="G28" s="278">
        <v>3.3643756012163413E-2</v>
      </c>
      <c r="H28" s="278">
        <f t="shared" si="8"/>
        <v>5.7659726358799998E-2</v>
      </c>
      <c r="I28" s="279"/>
      <c r="J28" s="278">
        <v>3.5718163272501921E-2</v>
      </c>
      <c r="K28" s="278">
        <v>4.819185629740038E-2</v>
      </c>
      <c r="L28" s="278">
        <f t="shared" si="9"/>
        <v>8.3910019569902294E-2</v>
      </c>
      <c r="M28" s="212"/>
      <c r="N28" s="212"/>
    </row>
    <row r="29" spans="1:14">
      <c r="A29" s="213" t="str">
        <f>name!E$7</f>
        <v>Administrative and secretarial occupations</v>
      </c>
      <c r="B29" s="278">
        <v>0.13315337585746775</v>
      </c>
      <c r="C29" s="278">
        <v>6.4379017050293891E-2</v>
      </c>
      <c r="D29" s="278">
        <f t="shared" si="7"/>
        <v>0.19753239290776164</v>
      </c>
      <c r="E29" s="279"/>
      <c r="F29" s="278">
        <v>4.974077798816888E-2</v>
      </c>
      <c r="G29" s="278">
        <v>1.9133213062035991E-2</v>
      </c>
      <c r="H29" s="278">
        <f t="shared" si="8"/>
        <v>6.8873991050204864E-2</v>
      </c>
      <c r="I29" s="279"/>
      <c r="J29" s="278">
        <v>3.9300004871823224E-2</v>
      </c>
      <c r="K29" s="278">
        <v>3.0764080216397153E-2</v>
      </c>
      <c r="L29" s="278">
        <f t="shared" si="9"/>
        <v>7.0064085088220374E-2</v>
      </c>
      <c r="M29" s="212"/>
      <c r="N29" s="212"/>
    </row>
    <row r="30" spans="1:14">
      <c r="A30" s="213" t="str">
        <f>name!E$8</f>
        <v>Skilled trades occupations</v>
      </c>
      <c r="B30" s="278">
        <v>0.19591086858829088</v>
      </c>
      <c r="C30" s="278">
        <v>1.3972276014758866</v>
      </c>
      <c r="D30" s="278">
        <f t="shared" si="7"/>
        <v>1.5931384700641775</v>
      </c>
      <c r="E30" s="279"/>
      <c r="F30" s="278">
        <v>0.14007959001296266</v>
      </c>
      <c r="G30" s="278">
        <v>0.46086504336722733</v>
      </c>
      <c r="H30" s="278">
        <f t="shared" si="8"/>
        <v>0.60094463338019</v>
      </c>
      <c r="I30" s="279"/>
      <c r="J30" s="278">
        <v>0.1514300259993738</v>
      </c>
      <c r="K30" s="278">
        <v>0.42294984642560984</v>
      </c>
      <c r="L30" s="278">
        <f t="shared" si="9"/>
        <v>0.57437987242498367</v>
      </c>
      <c r="M30" s="212"/>
      <c r="N30" s="212"/>
    </row>
    <row r="31" spans="1:14">
      <c r="A31" s="213" t="str">
        <f>name!E$9</f>
        <v>Caring, leisure and other service occupations</v>
      </c>
      <c r="B31" s="278">
        <v>9.1613865115798748E-2</v>
      </c>
      <c r="C31" s="278">
        <v>4.8788703255552235E-2</v>
      </c>
      <c r="D31" s="278">
        <f t="shared" si="7"/>
        <v>0.14040256837135098</v>
      </c>
      <c r="E31" s="279"/>
      <c r="F31" s="278">
        <v>3.4155208944892858E-2</v>
      </c>
      <c r="G31" s="278">
        <v>1.5978718745796133E-2</v>
      </c>
      <c r="H31" s="278">
        <f t="shared" si="8"/>
        <v>5.0133927690688987E-2</v>
      </c>
      <c r="I31" s="279"/>
      <c r="J31" s="278">
        <v>3.5847265753540782E-2</v>
      </c>
      <c r="K31" s="278">
        <v>1.9581862183777346E-2</v>
      </c>
      <c r="L31" s="278">
        <f t="shared" si="9"/>
        <v>5.5429127937318128E-2</v>
      </c>
      <c r="M31" s="212"/>
      <c r="N31" s="212"/>
    </row>
    <row r="32" spans="1:14">
      <c r="A32" s="213" t="str">
        <f>name!E$10</f>
        <v>Sales and customer service occupations</v>
      </c>
      <c r="B32" s="278">
        <v>3.1894268504871558E-2</v>
      </c>
      <c r="C32" s="278">
        <v>2.9094281238170594E-2</v>
      </c>
      <c r="D32" s="278">
        <f t="shared" si="7"/>
        <v>6.0988549743042152E-2</v>
      </c>
      <c r="E32" s="279"/>
      <c r="F32" s="278">
        <v>1.1177402542512416E-2</v>
      </c>
      <c r="G32" s="278">
        <v>9.4419177598549873E-3</v>
      </c>
      <c r="H32" s="278">
        <f t="shared" si="8"/>
        <v>2.0619320302367405E-2</v>
      </c>
      <c r="I32" s="279"/>
      <c r="J32" s="278">
        <v>1.0411715833038874E-2</v>
      </c>
      <c r="K32" s="278">
        <v>1.1350984313054127E-2</v>
      </c>
      <c r="L32" s="278">
        <f t="shared" si="9"/>
        <v>2.1762700146093002E-2</v>
      </c>
      <c r="M32" s="212"/>
      <c r="N32" s="212"/>
    </row>
    <row r="33" spans="1:18">
      <c r="A33" s="213" t="str">
        <f>name!E$11</f>
        <v>Process, plant and machine operatives</v>
      </c>
      <c r="B33" s="278">
        <v>1.9041842442549028E-2</v>
      </c>
      <c r="C33" s="278">
        <v>0.10150674974317733</v>
      </c>
      <c r="D33" s="278">
        <f t="shared" si="7"/>
        <v>0.12054859218572636</v>
      </c>
      <c r="E33" s="279"/>
      <c r="F33" s="278">
        <v>8.1874804553760012E-3</v>
      </c>
      <c r="G33" s="278">
        <v>2.6976794295751293E-2</v>
      </c>
      <c r="H33" s="278">
        <f t="shared" si="8"/>
        <v>3.5164274751127295E-2</v>
      </c>
      <c r="I33" s="279"/>
      <c r="J33" s="278">
        <v>5.7047451621701053E-3</v>
      </c>
      <c r="K33" s="278">
        <v>2.357867758474377E-2</v>
      </c>
      <c r="L33" s="278">
        <f t="shared" si="9"/>
        <v>2.9283422746913874E-2</v>
      </c>
      <c r="M33" s="212"/>
      <c r="N33" s="212"/>
    </row>
    <row r="34" spans="1:18">
      <c r="A34" s="213" t="str">
        <f>name!E$12</f>
        <v>Elementary occupations</v>
      </c>
      <c r="B34" s="278">
        <v>0.16218739446901589</v>
      </c>
      <c r="C34" s="278">
        <v>0.30206616881641163</v>
      </c>
      <c r="D34" s="278">
        <f t="shared" si="7"/>
        <v>0.46425356328542755</v>
      </c>
      <c r="E34" s="279"/>
      <c r="F34" s="278">
        <v>4.7565237870216839E-2</v>
      </c>
      <c r="G34" s="278">
        <v>7.3058006007780146E-2</v>
      </c>
      <c r="H34" s="278">
        <f t="shared" si="8"/>
        <v>0.12062324387799699</v>
      </c>
      <c r="I34" s="279"/>
      <c r="J34" s="278">
        <v>4.8490043537238868E-2</v>
      </c>
      <c r="K34" s="278">
        <v>7.7226027243165338E-2</v>
      </c>
      <c r="L34" s="278">
        <f t="shared" si="9"/>
        <v>0.1257160707804042</v>
      </c>
      <c r="M34" s="212"/>
      <c r="N34" s="212"/>
    </row>
    <row r="35" spans="1:18">
      <c r="A35" s="213"/>
      <c r="B35" s="278"/>
      <c r="C35" s="278"/>
      <c r="D35" s="278"/>
      <c r="E35" s="279"/>
      <c r="F35" s="278"/>
      <c r="G35" s="278"/>
      <c r="H35" s="278"/>
      <c r="I35" s="279"/>
      <c r="J35" s="278"/>
      <c r="K35" s="278"/>
      <c r="L35" s="278"/>
      <c r="M35" s="212"/>
      <c r="N35" s="283"/>
      <c r="R35" s="284"/>
    </row>
    <row r="36" spans="1:18">
      <c r="A36" s="220" t="s">
        <v>117</v>
      </c>
      <c r="B36" s="282">
        <f>SUM(B26:B34)</f>
        <v>0.73440446892407241</v>
      </c>
      <c r="C36" s="282">
        <f t="shared" ref="C36:K36" si="10">SUM(C26:C34)</f>
        <v>2.2305955310759238</v>
      </c>
      <c r="D36" s="282">
        <f t="shared" si="10"/>
        <v>2.9649999999999963</v>
      </c>
      <c r="E36" s="282"/>
      <c r="F36" s="282">
        <f t="shared" si="10"/>
        <v>0.36694465204198146</v>
      </c>
      <c r="G36" s="282">
        <f t="shared" si="10"/>
        <v>0.74805534795801765</v>
      </c>
      <c r="H36" s="282">
        <f t="shared" si="10"/>
        <v>1.1149999999999991</v>
      </c>
      <c r="I36" s="282"/>
      <c r="J36" s="282">
        <f t="shared" si="10"/>
        <v>0.40204788237532763</v>
      </c>
      <c r="K36" s="282">
        <f t="shared" si="10"/>
        <v>0.81295211762467112</v>
      </c>
      <c r="L36" s="282">
        <f>SUM(L26:L34)</f>
        <v>1.2149999999999985</v>
      </c>
      <c r="M36" s="212"/>
      <c r="N36" s="212"/>
    </row>
    <row r="37" spans="1:18">
      <c r="A37" s="213"/>
      <c r="B37" s="213"/>
      <c r="C37" s="213"/>
      <c r="D37" s="213"/>
      <c r="E37" s="213"/>
      <c r="F37" s="213"/>
      <c r="G37" s="213"/>
      <c r="H37" s="213"/>
      <c r="I37" s="213"/>
      <c r="J37" s="213"/>
      <c r="K37" s="213"/>
      <c r="L37" s="216"/>
      <c r="M37" s="212"/>
      <c r="N37" s="212"/>
    </row>
    <row r="38" spans="1:18">
      <c r="A38" s="213"/>
      <c r="B38" s="213"/>
      <c r="C38" s="213"/>
      <c r="D38" s="213"/>
      <c r="E38" s="213"/>
      <c r="F38" s="213"/>
      <c r="G38" s="213"/>
      <c r="H38" s="213"/>
      <c r="I38" s="213"/>
      <c r="J38" s="213"/>
      <c r="K38" s="213"/>
      <c r="L38" s="232" t="s">
        <v>112</v>
      </c>
      <c r="M38" s="212"/>
      <c r="N38" s="212"/>
    </row>
    <row r="39" spans="1:18">
      <c r="A39" s="218"/>
      <c r="B39" s="226"/>
      <c r="C39" s="226"/>
      <c r="D39" s="226"/>
      <c r="E39" s="226"/>
      <c r="F39" s="226"/>
      <c r="G39" s="226"/>
      <c r="H39" s="226"/>
      <c r="I39" s="226"/>
      <c r="J39" s="226"/>
      <c r="K39" s="226"/>
      <c r="L39" s="212"/>
      <c r="M39" s="212"/>
      <c r="N39" s="212"/>
    </row>
    <row r="40" spans="1:18">
      <c r="A40" s="217" t="str">
        <f>name!B5</f>
        <v>Mining and quarrying</v>
      </c>
      <c r="B40" s="347">
        <f>B$6</f>
        <v>2015</v>
      </c>
      <c r="C40" s="347"/>
      <c r="D40" s="347"/>
      <c r="E40" s="229"/>
      <c r="F40" s="347">
        <f>F23</f>
        <v>2020</v>
      </c>
      <c r="G40" s="347"/>
      <c r="H40" s="347"/>
      <c r="I40" s="229"/>
      <c r="J40" s="347">
        <f>J23</f>
        <v>2035</v>
      </c>
      <c r="K40" s="347"/>
      <c r="L40" s="347"/>
      <c r="M40" s="212"/>
      <c r="N40" s="212"/>
    </row>
    <row r="41" spans="1:18">
      <c r="A41" s="230"/>
      <c r="B41" s="231" t="s">
        <v>154</v>
      </c>
      <c r="C41" s="231" t="s">
        <v>155</v>
      </c>
      <c r="D41" s="231" t="s">
        <v>117</v>
      </c>
      <c r="E41" s="231"/>
      <c r="F41" s="231" t="s">
        <v>154</v>
      </c>
      <c r="G41" s="231" t="s">
        <v>155</v>
      </c>
      <c r="H41" s="231" t="s">
        <v>117</v>
      </c>
      <c r="I41" s="231"/>
      <c r="J41" s="231" t="s">
        <v>154</v>
      </c>
      <c r="K41" s="231" t="s">
        <v>155</v>
      </c>
      <c r="L41" s="231" t="s">
        <v>117</v>
      </c>
      <c r="M41" s="212"/>
      <c r="N41" s="212"/>
    </row>
    <row r="42" spans="1:18">
      <c r="A42" s="234"/>
      <c r="B42" s="235"/>
      <c r="C42" s="235"/>
      <c r="D42" s="235"/>
      <c r="E42" s="235"/>
      <c r="F42" s="235"/>
      <c r="G42" s="235"/>
      <c r="H42" s="235"/>
      <c r="I42" s="235"/>
      <c r="J42" s="235"/>
      <c r="K42" s="235"/>
      <c r="L42" s="235"/>
      <c r="M42" s="212"/>
      <c r="N42" s="212"/>
    </row>
    <row r="43" spans="1:18">
      <c r="A43" s="213" t="str">
        <f>name!E$4</f>
        <v>Managers, directors and senior officials</v>
      </c>
      <c r="B43" s="278">
        <v>6.8476087834702345E-4</v>
      </c>
      <c r="C43" s="278">
        <v>2.1860820817167215E-2</v>
      </c>
      <c r="D43" s="278">
        <f>SUM(B43:C43)</f>
        <v>2.2545581695514239E-2</v>
      </c>
      <c r="E43" s="279"/>
      <c r="F43" s="278">
        <v>2.0909451211882971E-3</v>
      </c>
      <c r="G43" s="278">
        <v>2.619248307595402E-2</v>
      </c>
      <c r="H43" s="278">
        <f>SUM(F43:G43)</f>
        <v>2.8283428197142316E-2</v>
      </c>
      <c r="I43" s="279"/>
      <c r="J43" s="278">
        <v>8.4875794380432192E-4</v>
      </c>
      <c r="K43" s="278">
        <v>1.1450969749804914E-2</v>
      </c>
      <c r="L43" s="278">
        <f>SUM(J43:K43)</f>
        <v>1.2299727693609236E-2</v>
      </c>
      <c r="M43" s="212"/>
      <c r="N43" s="212"/>
    </row>
    <row r="44" spans="1:18">
      <c r="A44" s="213" t="str">
        <f>name!E$5</f>
        <v>Professional occupations</v>
      </c>
      <c r="B44" s="278">
        <v>4.3087577488290889E-3</v>
      </c>
      <c r="C44" s="278">
        <v>1.730461726690876E-2</v>
      </c>
      <c r="D44" s="278">
        <f t="shared" ref="D44:D51" si="11">SUM(B44:C44)</f>
        <v>2.1613375015737849E-2</v>
      </c>
      <c r="E44" s="279"/>
      <c r="F44" s="278">
        <v>7.6404141765534445E-3</v>
      </c>
      <c r="G44" s="278">
        <v>2.3628897030554818E-2</v>
      </c>
      <c r="H44" s="278">
        <f t="shared" ref="H44:H51" si="12">SUM(F44:G44)</f>
        <v>3.1269311207108262E-2</v>
      </c>
      <c r="I44" s="279"/>
      <c r="J44" s="278">
        <v>2.102409100680686E-3</v>
      </c>
      <c r="K44" s="278">
        <v>1.3358900958676508E-2</v>
      </c>
      <c r="L44" s="278">
        <f t="shared" ref="L44:L51" si="13">SUM(J44:K44)</f>
        <v>1.5461310059357193E-2</v>
      </c>
      <c r="M44" s="212"/>
      <c r="N44" s="212"/>
    </row>
    <row r="45" spans="1:18">
      <c r="A45" s="213" t="str">
        <f>name!E$6</f>
        <v>Associate professional occupations</v>
      </c>
      <c r="B45" s="278">
        <v>1.0200678032265978E-3</v>
      </c>
      <c r="C45" s="278">
        <v>1.4164645737417441E-2</v>
      </c>
      <c r="D45" s="278">
        <f t="shared" si="11"/>
        <v>1.5184713540644039E-2</v>
      </c>
      <c r="E45" s="279"/>
      <c r="F45" s="278">
        <v>5.2353613349665727E-3</v>
      </c>
      <c r="G45" s="278">
        <v>2.2756495982385615E-2</v>
      </c>
      <c r="H45" s="278">
        <f t="shared" si="12"/>
        <v>2.7991857317352188E-2</v>
      </c>
      <c r="I45" s="279"/>
      <c r="J45" s="278">
        <v>2.7890915649497008E-3</v>
      </c>
      <c r="K45" s="278">
        <v>9.609811975207147E-3</v>
      </c>
      <c r="L45" s="278">
        <f t="shared" si="13"/>
        <v>1.2398903540156847E-2</v>
      </c>
      <c r="M45" s="212"/>
      <c r="N45" s="212"/>
    </row>
    <row r="46" spans="1:18">
      <c r="A46" s="213" t="str">
        <f>name!E$7</f>
        <v>Administrative and secretarial occupations</v>
      </c>
      <c r="B46" s="278">
        <v>8.5185519292711677E-4</v>
      </c>
      <c r="C46" s="278">
        <v>3.2443014590166994E-3</v>
      </c>
      <c r="D46" s="278">
        <f t="shared" si="11"/>
        <v>4.0961566519438159E-3</v>
      </c>
      <c r="E46" s="279"/>
      <c r="F46" s="278">
        <v>6.8084112531344226E-3</v>
      </c>
      <c r="G46" s="278">
        <v>2.8111722849071645E-3</v>
      </c>
      <c r="H46" s="278">
        <f t="shared" si="12"/>
        <v>9.619583538041588E-3</v>
      </c>
      <c r="I46" s="279"/>
      <c r="J46" s="278">
        <v>3.0974199384549506E-3</v>
      </c>
      <c r="K46" s="278">
        <v>1.0553260256726785E-3</v>
      </c>
      <c r="L46" s="278">
        <f t="shared" si="13"/>
        <v>4.1527459641276295E-3</v>
      </c>
      <c r="M46" s="212"/>
      <c r="N46" s="212"/>
    </row>
    <row r="47" spans="1:18">
      <c r="A47" s="213" t="str">
        <f>name!E$8</f>
        <v>Skilled trades occupations</v>
      </c>
      <c r="B47" s="278">
        <v>4.5008397405886915E-4</v>
      </c>
      <c r="C47" s="278">
        <v>3.6822988407907105E-2</v>
      </c>
      <c r="D47" s="278">
        <f t="shared" si="11"/>
        <v>3.7273072381965977E-2</v>
      </c>
      <c r="E47" s="279"/>
      <c r="F47" s="278">
        <v>1.8454347358270906E-4</v>
      </c>
      <c r="G47" s="278">
        <v>2.9050137606418246E-2</v>
      </c>
      <c r="H47" s="278">
        <f>SUM(F47:G47)</f>
        <v>2.9234681080000956E-2</v>
      </c>
      <c r="I47" s="279"/>
      <c r="J47" s="278">
        <v>7.9753909422743078E-5</v>
      </c>
      <c r="K47" s="278">
        <v>9.6843037040794961E-3</v>
      </c>
      <c r="L47" s="278">
        <f t="shared" si="13"/>
        <v>9.7640576135022399E-3</v>
      </c>
      <c r="M47" s="212"/>
      <c r="N47" s="212"/>
    </row>
    <row r="48" spans="1:18">
      <c r="A48" s="213" t="str">
        <f>name!E$9</f>
        <v>Caring, leisure and other service occupations</v>
      </c>
      <c r="B48" s="278">
        <v>1.2804759695042055E-3</v>
      </c>
      <c r="C48" s="278">
        <v>2.0400948479771331E-3</v>
      </c>
      <c r="D48" s="278">
        <f t="shared" si="11"/>
        <v>3.3205708174813388E-3</v>
      </c>
      <c r="E48" s="279"/>
      <c r="F48" s="278">
        <v>9.6925155736862258E-4</v>
      </c>
      <c r="G48" s="278">
        <v>3.0942723404983191E-3</v>
      </c>
      <c r="H48" s="278">
        <f t="shared" si="12"/>
        <v>4.0635238978669417E-3</v>
      </c>
      <c r="I48" s="279"/>
      <c r="J48" s="278">
        <v>2.1711772809467639E-4</v>
      </c>
      <c r="K48" s="278">
        <v>1.2877170177808144E-3</v>
      </c>
      <c r="L48" s="278">
        <f t="shared" si="13"/>
        <v>1.5048347458754907E-3</v>
      </c>
      <c r="M48" s="212"/>
      <c r="N48" s="212"/>
    </row>
    <row r="49" spans="1:14">
      <c r="A49" s="213" t="str">
        <f>name!E$10</f>
        <v>Sales and customer service occupations</v>
      </c>
      <c r="B49" s="278">
        <v>4.7731003438038867E-4</v>
      </c>
      <c r="C49" s="278">
        <v>2.8128350380603687E-3</v>
      </c>
      <c r="D49" s="278">
        <f t="shared" si="11"/>
        <v>3.2901450724407573E-3</v>
      </c>
      <c r="E49" s="279"/>
      <c r="F49" s="278">
        <v>1.4964676454164113E-3</v>
      </c>
      <c r="G49" s="278">
        <v>2.7853282881883999E-3</v>
      </c>
      <c r="H49" s="278">
        <f t="shared" si="12"/>
        <v>4.2817959336048112E-3</v>
      </c>
      <c r="I49" s="279"/>
      <c r="J49" s="278">
        <v>6.5565326507223962E-4</v>
      </c>
      <c r="K49" s="278">
        <v>1.2455321588962964E-3</v>
      </c>
      <c r="L49" s="278">
        <f t="shared" si="13"/>
        <v>1.9011854239685362E-3</v>
      </c>
      <c r="M49" s="212"/>
      <c r="N49" s="212"/>
    </row>
    <row r="50" spans="1:14">
      <c r="A50" s="213" t="str">
        <f>name!E$11</f>
        <v>Process, plant and machine operatives</v>
      </c>
      <c r="B50" s="278">
        <v>1.0841971676065851E-3</v>
      </c>
      <c r="C50" s="278">
        <v>2.3287565280656734E-2</v>
      </c>
      <c r="D50" s="278">
        <f t="shared" si="11"/>
        <v>2.437176244826332E-2</v>
      </c>
      <c r="E50" s="279"/>
      <c r="F50" s="278">
        <v>1.3023324771604418E-4</v>
      </c>
      <c r="G50" s="278">
        <v>1.7961244642225673E-2</v>
      </c>
      <c r="H50" s="278">
        <f t="shared" si="12"/>
        <v>1.8091477889941716E-2</v>
      </c>
      <c r="I50" s="279"/>
      <c r="J50" s="278">
        <v>3.1096075246678498E-5</v>
      </c>
      <c r="K50" s="278">
        <v>4.854600895623346E-3</v>
      </c>
      <c r="L50" s="278">
        <f t="shared" si="13"/>
        <v>4.8856969708700243E-3</v>
      </c>
      <c r="M50" s="212"/>
      <c r="N50" s="212"/>
    </row>
    <row r="51" spans="1:14">
      <c r="A51" s="213" t="str">
        <f>name!E$12</f>
        <v>Elementary occupations</v>
      </c>
      <c r="B51" s="278">
        <v>7.2786672518076773E-4</v>
      </c>
      <c r="C51" s="278">
        <v>2.9576755650828169E-2</v>
      </c>
      <c r="D51" s="278">
        <f t="shared" si="11"/>
        <v>3.0304622376008936E-2</v>
      </c>
      <c r="E51" s="279"/>
      <c r="F51" s="278">
        <v>8.233504148017441E-4</v>
      </c>
      <c r="G51" s="278">
        <v>1.3409905241397414E-3</v>
      </c>
      <c r="H51" s="278">
        <f t="shared" si="12"/>
        <v>2.1643409389414856E-3</v>
      </c>
      <c r="I51" s="279"/>
      <c r="J51" s="278">
        <v>2.8711331063887739E-4</v>
      </c>
      <c r="K51" s="278">
        <v>3.4442467789391236E-4</v>
      </c>
      <c r="L51" s="278">
        <f t="shared" si="13"/>
        <v>6.3153798853278975E-4</v>
      </c>
      <c r="M51" s="212"/>
      <c r="N51" s="212"/>
    </row>
    <row r="52" spans="1:14">
      <c r="A52" s="213"/>
      <c r="B52" s="278"/>
      <c r="C52" s="278"/>
      <c r="D52" s="278"/>
      <c r="E52" s="279"/>
      <c r="F52" s="278"/>
      <c r="G52" s="278"/>
      <c r="H52" s="278"/>
      <c r="I52" s="279"/>
      <c r="J52" s="278"/>
      <c r="K52" s="278"/>
      <c r="L52" s="278"/>
      <c r="M52" s="212"/>
      <c r="N52" s="212"/>
    </row>
    <row r="53" spans="1:14">
      <c r="A53" s="220" t="s">
        <v>117</v>
      </c>
      <c r="B53" s="282">
        <f>SUM(B43:B51)</f>
        <v>1.0885375494060644E-2</v>
      </c>
      <c r="C53" s="282">
        <f t="shared" ref="C53:L53" si="14">SUM(C43:C51)</f>
        <v>0.15111462450593963</v>
      </c>
      <c r="D53" s="282">
        <f t="shared" si="14"/>
        <v>0.16200000000000025</v>
      </c>
      <c r="E53" s="282"/>
      <c r="F53" s="282">
        <f t="shared" si="14"/>
        <v>2.5378978224728267E-2</v>
      </c>
      <c r="G53" s="282">
        <f t="shared" si="14"/>
        <v>0.12962102177527199</v>
      </c>
      <c r="H53" s="282">
        <f t="shared" si="14"/>
        <v>0.15500000000000028</v>
      </c>
      <c r="I53" s="282"/>
      <c r="J53" s="282">
        <f t="shared" si="14"/>
        <v>1.0108412836364874E-2</v>
      </c>
      <c r="K53" s="282">
        <f t="shared" si="14"/>
        <v>5.2891587163635116E-2</v>
      </c>
      <c r="L53" s="282">
        <f t="shared" si="14"/>
        <v>6.2999999999999987E-2</v>
      </c>
      <c r="M53" s="212"/>
      <c r="N53" s="212"/>
    </row>
    <row r="54" spans="1:14">
      <c r="A54" s="213"/>
      <c r="B54" s="213"/>
      <c r="C54" s="213"/>
      <c r="D54" s="213"/>
      <c r="E54" s="213"/>
      <c r="F54" s="213"/>
      <c r="G54" s="213"/>
      <c r="H54" s="213"/>
      <c r="I54" s="213"/>
      <c r="J54" s="213"/>
      <c r="K54" s="213"/>
      <c r="L54" s="216"/>
      <c r="M54" s="212"/>
      <c r="N54" s="212"/>
    </row>
    <row r="55" spans="1:14">
      <c r="A55" s="213"/>
      <c r="B55" s="213"/>
      <c r="C55" s="213"/>
      <c r="D55" s="213"/>
      <c r="E55" s="213"/>
      <c r="F55" s="213"/>
      <c r="G55" s="213"/>
      <c r="H55" s="213"/>
      <c r="I55" s="213"/>
      <c r="J55" s="213"/>
      <c r="K55" s="213"/>
      <c r="L55" s="232" t="s">
        <v>112</v>
      </c>
      <c r="M55" s="212"/>
      <c r="N55" s="212"/>
    </row>
    <row r="56" spans="1:14">
      <c r="A56" s="218"/>
      <c r="B56" s="226"/>
      <c r="C56" s="226"/>
      <c r="D56" s="226"/>
      <c r="E56" s="226"/>
      <c r="F56" s="226"/>
      <c r="G56" s="226"/>
      <c r="H56" s="226"/>
      <c r="I56" s="226"/>
      <c r="J56" s="226"/>
      <c r="K56" s="226"/>
      <c r="L56" s="212"/>
      <c r="M56" s="212"/>
      <c r="N56" s="212"/>
    </row>
    <row r="57" spans="1:14">
      <c r="A57" s="217" t="str">
        <f>name!B6</f>
        <v>Food drink and tobacco</v>
      </c>
      <c r="B57" s="347">
        <f>B$6</f>
        <v>2015</v>
      </c>
      <c r="C57" s="347"/>
      <c r="D57" s="347"/>
      <c r="E57" s="229"/>
      <c r="F57" s="347">
        <f>F40</f>
        <v>2020</v>
      </c>
      <c r="G57" s="347"/>
      <c r="H57" s="347"/>
      <c r="I57" s="229"/>
      <c r="J57" s="347">
        <f>J40</f>
        <v>2035</v>
      </c>
      <c r="K57" s="347"/>
      <c r="L57" s="347"/>
      <c r="M57" s="212"/>
      <c r="N57" s="212"/>
    </row>
    <row r="58" spans="1:14">
      <c r="A58" s="230"/>
      <c r="B58" s="231" t="s">
        <v>154</v>
      </c>
      <c r="C58" s="231" t="s">
        <v>155</v>
      </c>
      <c r="D58" s="231" t="s">
        <v>117</v>
      </c>
      <c r="E58" s="231"/>
      <c r="F58" s="231" t="s">
        <v>154</v>
      </c>
      <c r="G58" s="231" t="s">
        <v>155</v>
      </c>
      <c r="H58" s="231" t="s">
        <v>117</v>
      </c>
      <c r="I58" s="231"/>
      <c r="J58" s="231" t="s">
        <v>154</v>
      </c>
      <c r="K58" s="231" t="s">
        <v>155</v>
      </c>
      <c r="L58" s="231" t="s">
        <v>117</v>
      </c>
      <c r="M58" s="212"/>
      <c r="N58" s="212"/>
    </row>
    <row r="59" spans="1:14">
      <c r="A59" s="234"/>
      <c r="B59" s="235"/>
      <c r="C59" s="235"/>
      <c r="D59" s="235"/>
      <c r="E59" s="235"/>
      <c r="F59" s="235"/>
      <c r="G59" s="235"/>
      <c r="H59" s="235"/>
      <c r="I59" s="235"/>
      <c r="J59" s="235"/>
      <c r="K59" s="235"/>
      <c r="L59" s="235"/>
      <c r="M59" s="212"/>
      <c r="N59" s="212"/>
    </row>
    <row r="60" spans="1:14">
      <c r="A60" s="213" t="str">
        <f>name!E$4</f>
        <v>Managers, directors and senior officials</v>
      </c>
      <c r="B60" s="278">
        <v>0.13861697696889153</v>
      </c>
      <c r="C60" s="278">
        <v>0.30962031261742845</v>
      </c>
      <c r="D60" s="278">
        <f>SUM(B60:C60)</f>
        <v>0.44823728958631998</v>
      </c>
      <c r="E60" s="279"/>
      <c r="F60" s="278">
        <v>0.18044889730044017</v>
      </c>
      <c r="G60" s="278">
        <v>0.34308855243828223</v>
      </c>
      <c r="H60" s="278">
        <f>SUM(F60:G60)</f>
        <v>0.5235374497387224</v>
      </c>
      <c r="I60" s="279"/>
      <c r="J60" s="278">
        <v>0.18789488805887908</v>
      </c>
      <c r="K60" s="278">
        <v>0.29718646503375917</v>
      </c>
      <c r="L60" s="278">
        <f>SUM(J60:K60)</f>
        <v>0.48508135309263822</v>
      </c>
      <c r="M60" s="212"/>
      <c r="N60" s="212"/>
    </row>
    <row r="61" spans="1:14">
      <c r="A61" s="213" t="str">
        <f>name!E$5</f>
        <v>Professional occupations</v>
      </c>
      <c r="B61" s="278">
        <v>0.21686895651807414</v>
      </c>
      <c r="C61" s="278">
        <v>0.20504753692881431</v>
      </c>
      <c r="D61" s="278">
        <f t="shared" ref="D61:D68" si="15">SUM(B61:C61)</f>
        <v>0.42191649344688842</v>
      </c>
      <c r="E61" s="279"/>
      <c r="F61" s="278">
        <v>0.30603255387410866</v>
      </c>
      <c r="G61" s="278">
        <v>0.25820293797385158</v>
      </c>
      <c r="H61" s="278">
        <f t="shared" ref="H61:H68" si="16">SUM(F61:G61)</f>
        <v>0.56423549184796018</v>
      </c>
      <c r="I61" s="279"/>
      <c r="J61" s="278">
        <v>0.38395971777533661</v>
      </c>
      <c r="K61" s="278">
        <v>0.33974679420031417</v>
      </c>
      <c r="L61" s="278">
        <f t="shared" ref="L61:L68" si="17">SUM(J61:K61)</f>
        <v>0.72370651197565072</v>
      </c>
      <c r="M61" s="212"/>
      <c r="N61" s="212"/>
    </row>
    <row r="62" spans="1:14">
      <c r="A62" s="213" t="str">
        <f>name!E$6</f>
        <v>Associate professional occupations</v>
      </c>
      <c r="B62" s="278">
        <v>0.2488063107966762</v>
      </c>
      <c r="C62" s="278">
        <v>0.30618318447771903</v>
      </c>
      <c r="D62" s="278">
        <f t="shared" si="15"/>
        <v>0.55498949527439523</v>
      </c>
      <c r="E62" s="279"/>
      <c r="F62" s="278">
        <v>0.3023948544039563</v>
      </c>
      <c r="G62" s="278">
        <v>0.37479669312644709</v>
      </c>
      <c r="H62" s="278">
        <f t="shared" si="16"/>
        <v>0.67719154753040334</v>
      </c>
      <c r="I62" s="279"/>
      <c r="J62" s="278">
        <v>0.35670769771818472</v>
      </c>
      <c r="K62" s="278">
        <v>0.34970879674177829</v>
      </c>
      <c r="L62" s="278">
        <f t="shared" si="17"/>
        <v>0.70641649445996302</v>
      </c>
      <c r="M62" s="212"/>
      <c r="N62" s="212"/>
    </row>
    <row r="63" spans="1:14">
      <c r="A63" s="213" t="str">
        <f>name!E$7</f>
        <v>Administrative and secretarial occupations</v>
      </c>
      <c r="B63" s="278">
        <v>0.18575206622729454</v>
      </c>
      <c r="C63" s="278">
        <v>0.26962052000369907</v>
      </c>
      <c r="D63" s="278">
        <f t="shared" si="15"/>
        <v>0.45537258623099364</v>
      </c>
      <c r="E63" s="279"/>
      <c r="F63" s="278">
        <v>0.189962010513994</v>
      </c>
      <c r="G63" s="278">
        <v>0.28914267768719892</v>
      </c>
      <c r="H63" s="278">
        <f t="shared" si="16"/>
        <v>0.4791046882011929</v>
      </c>
      <c r="I63" s="279"/>
      <c r="J63" s="278">
        <v>0.14643736057086434</v>
      </c>
      <c r="K63" s="278">
        <v>0.32641180245086954</v>
      </c>
      <c r="L63" s="278">
        <f t="shared" si="17"/>
        <v>0.47284916302173385</v>
      </c>
      <c r="M63" s="212"/>
      <c r="N63" s="212"/>
    </row>
    <row r="64" spans="1:14">
      <c r="A64" s="213" t="str">
        <f>name!E$8</f>
        <v>Skilled trades occupations</v>
      </c>
      <c r="B64" s="278">
        <v>0.13664389288593276</v>
      </c>
      <c r="C64" s="278">
        <v>0.92068483572540616</v>
      </c>
      <c r="D64" s="278">
        <f t="shared" si="15"/>
        <v>1.0573287286113389</v>
      </c>
      <c r="E64" s="279"/>
      <c r="F64" s="278">
        <v>0.11964352443159061</v>
      </c>
      <c r="G64" s="278">
        <v>0.63568096663534979</v>
      </c>
      <c r="H64" s="278">
        <f t="shared" si="16"/>
        <v>0.75532449106694044</v>
      </c>
      <c r="I64" s="279"/>
      <c r="J64" s="278">
        <v>8.9189909605093098E-2</v>
      </c>
      <c r="K64" s="278">
        <v>0.54588286391444318</v>
      </c>
      <c r="L64" s="278">
        <f t="shared" si="17"/>
        <v>0.63507277351953628</v>
      </c>
      <c r="M64" s="212"/>
      <c r="N64" s="212"/>
    </row>
    <row r="65" spans="1:14">
      <c r="A65" s="213" t="str">
        <f>name!E$9</f>
        <v>Caring, leisure and other service occupations</v>
      </c>
      <c r="B65" s="278">
        <v>3.4509512847704066E-2</v>
      </c>
      <c r="C65" s="278">
        <v>2.9790548902588088E-2</v>
      </c>
      <c r="D65" s="278">
        <f t="shared" si="15"/>
        <v>6.4300061750292153E-2</v>
      </c>
      <c r="E65" s="279"/>
      <c r="F65" s="278">
        <v>3.9237105088205042E-2</v>
      </c>
      <c r="G65" s="278">
        <v>3.3329922089140353E-2</v>
      </c>
      <c r="H65" s="278">
        <f t="shared" si="16"/>
        <v>7.2567027177345395E-2</v>
      </c>
      <c r="I65" s="279"/>
      <c r="J65" s="278">
        <v>3.7375926683806911E-2</v>
      </c>
      <c r="K65" s="278">
        <v>3.0390434622145704E-2</v>
      </c>
      <c r="L65" s="278">
        <f t="shared" si="17"/>
        <v>6.7766361305952622E-2</v>
      </c>
      <c r="M65" s="212"/>
      <c r="N65" s="212"/>
    </row>
    <row r="66" spans="1:14">
      <c r="A66" s="213" t="str">
        <f>name!E$10</f>
        <v>Sales and customer service occupations</v>
      </c>
      <c r="B66" s="278">
        <v>0.10701983439388697</v>
      </c>
      <c r="C66" s="278">
        <v>7.0883398681116205E-2</v>
      </c>
      <c r="D66" s="278">
        <f t="shared" si="15"/>
        <v>0.17790323307500316</v>
      </c>
      <c r="E66" s="279"/>
      <c r="F66" s="278">
        <v>9.6161615464131586E-2</v>
      </c>
      <c r="G66" s="278">
        <v>7.6598705991323471E-2</v>
      </c>
      <c r="H66" s="278">
        <f t="shared" si="16"/>
        <v>0.17276032145545506</v>
      </c>
      <c r="I66" s="279"/>
      <c r="J66" s="278">
        <v>7.5863148816407544E-2</v>
      </c>
      <c r="K66" s="278">
        <v>8.5730977118616186E-2</v>
      </c>
      <c r="L66" s="278">
        <f t="shared" si="17"/>
        <v>0.16159412593502373</v>
      </c>
      <c r="M66" s="212"/>
      <c r="N66" s="212"/>
    </row>
    <row r="67" spans="1:14">
      <c r="A67" s="213" t="str">
        <f>name!E$11</f>
        <v>Process, plant and machine operatives</v>
      </c>
      <c r="B67" s="278">
        <v>0.73218258100957201</v>
      </c>
      <c r="C67" s="278">
        <v>1.8979949057480614</v>
      </c>
      <c r="D67" s="278">
        <f t="shared" si="15"/>
        <v>2.6301774867576335</v>
      </c>
      <c r="E67" s="279"/>
      <c r="F67" s="278">
        <v>0.57269652497336243</v>
      </c>
      <c r="G67" s="278">
        <v>1.5492757253584728</v>
      </c>
      <c r="H67" s="278">
        <f t="shared" si="16"/>
        <v>2.1219722503318352</v>
      </c>
      <c r="I67" s="279"/>
      <c r="J67" s="278">
        <v>0.47690281056513345</v>
      </c>
      <c r="K67" s="278">
        <v>1.303145431323586</v>
      </c>
      <c r="L67" s="278">
        <f t="shared" si="17"/>
        <v>1.7800482418887194</v>
      </c>
      <c r="M67" s="212"/>
      <c r="N67" s="212"/>
    </row>
    <row r="68" spans="1:14">
      <c r="A68" s="213" t="str">
        <f>name!E$12</f>
        <v>Elementary occupations</v>
      </c>
      <c r="B68" s="278">
        <v>0.48075632635767157</v>
      </c>
      <c r="C68" s="278">
        <v>0.72101829890945301</v>
      </c>
      <c r="D68" s="278">
        <f t="shared" si="15"/>
        <v>1.2017746252671246</v>
      </c>
      <c r="E68" s="279"/>
      <c r="F68" s="278">
        <v>0.34724249585467792</v>
      </c>
      <c r="G68" s="278">
        <v>0.58306423679546726</v>
      </c>
      <c r="H68" s="278">
        <f t="shared" si="16"/>
        <v>0.93030673265014519</v>
      </c>
      <c r="I68" s="279"/>
      <c r="J68" s="278">
        <v>0.51788686127849759</v>
      </c>
      <c r="K68" s="278">
        <v>0.6385781135222659</v>
      </c>
      <c r="L68" s="278">
        <f t="shared" si="17"/>
        <v>1.1564649748007634</v>
      </c>
      <c r="M68" s="212"/>
      <c r="N68" s="212"/>
    </row>
    <row r="69" spans="1:14">
      <c r="A69" s="213"/>
      <c r="B69" s="278"/>
      <c r="C69" s="278"/>
      <c r="D69" s="278"/>
      <c r="E69" s="279"/>
      <c r="F69" s="278"/>
      <c r="G69" s="278"/>
      <c r="H69" s="278"/>
      <c r="I69" s="279"/>
      <c r="J69" s="278"/>
      <c r="K69" s="278"/>
      <c r="L69" s="278"/>
      <c r="M69" s="212"/>
      <c r="N69" s="212"/>
    </row>
    <row r="70" spans="1:14">
      <c r="A70" s="220" t="s">
        <v>117</v>
      </c>
      <c r="B70" s="282">
        <f>SUM(B60:B68)</f>
        <v>2.2811564580057038</v>
      </c>
      <c r="C70" s="282">
        <f t="shared" ref="C70:L70" si="18">SUM(C60:C68)</f>
        <v>4.730843541994286</v>
      </c>
      <c r="D70" s="282">
        <f t="shared" si="18"/>
        <v>7.0119999999999898</v>
      </c>
      <c r="E70" s="282"/>
      <c r="F70" s="282">
        <f t="shared" si="18"/>
        <v>2.1538195819044668</v>
      </c>
      <c r="G70" s="282">
        <f t="shared" si="18"/>
        <v>4.1431804180955334</v>
      </c>
      <c r="H70" s="282">
        <f t="shared" si="18"/>
        <v>6.2969999999999997</v>
      </c>
      <c r="I70" s="282"/>
      <c r="J70" s="282">
        <f t="shared" si="18"/>
        <v>2.2722183210722036</v>
      </c>
      <c r="K70" s="282">
        <f t="shared" si="18"/>
        <v>3.9167816789277783</v>
      </c>
      <c r="L70" s="282">
        <f t="shared" si="18"/>
        <v>6.1889999999999814</v>
      </c>
      <c r="M70" s="212"/>
      <c r="N70" s="212"/>
    </row>
    <row r="71" spans="1:14">
      <c r="A71" s="213"/>
      <c r="B71" s="213"/>
      <c r="C71" s="213"/>
      <c r="D71" s="213"/>
      <c r="E71" s="213"/>
      <c r="F71" s="213"/>
      <c r="G71" s="213"/>
      <c r="H71" s="213"/>
      <c r="I71" s="213"/>
      <c r="J71" s="213"/>
      <c r="K71" s="213"/>
      <c r="L71" s="216"/>
      <c r="M71" s="212"/>
      <c r="N71" s="212"/>
    </row>
    <row r="72" spans="1:14">
      <c r="A72" s="213"/>
      <c r="B72" s="213"/>
      <c r="C72" s="213"/>
      <c r="D72" s="213"/>
      <c r="E72" s="213"/>
      <c r="F72" s="213"/>
      <c r="G72" s="213"/>
      <c r="H72" s="213"/>
      <c r="I72" s="213"/>
      <c r="J72" s="213"/>
      <c r="K72" s="213"/>
      <c r="L72" s="232" t="s">
        <v>112</v>
      </c>
      <c r="M72" s="212"/>
      <c r="N72" s="212"/>
    </row>
    <row r="73" spans="1:14">
      <c r="A73" s="218"/>
      <c r="B73" s="226"/>
      <c r="C73" s="226"/>
      <c r="D73" s="226"/>
      <c r="E73" s="226"/>
      <c r="F73" s="226"/>
      <c r="G73" s="226"/>
      <c r="H73" s="226"/>
      <c r="I73" s="226"/>
      <c r="J73" s="226"/>
      <c r="K73" s="226"/>
      <c r="L73" s="212"/>
      <c r="M73" s="212"/>
      <c r="N73" s="212"/>
    </row>
    <row r="74" spans="1:14">
      <c r="A74" s="217" t="str">
        <f>name!B7</f>
        <v>Engineering</v>
      </c>
      <c r="B74" s="347">
        <f>B$6</f>
        <v>2015</v>
      </c>
      <c r="C74" s="347"/>
      <c r="D74" s="347"/>
      <c r="E74" s="229"/>
      <c r="F74" s="347">
        <f>F57</f>
        <v>2020</v>
      </c>
      <c r="G74" s="347"/>
      <c r="H74" s="347"/>
      <c r="I74" s="229"/>
      <c r="J74" s="347">
        <f>J57</f>
        <v>2035</v>
      </c>
      <c r="K74" s="347"/>
      <c r="L74" s="347"/>
      <c r="M74" s="212"/>
      <c r="N74" s="212"/>
    </row>
    <row r="75" spans="1:14">
      <c r="A75" s="230"/>
      <c r="B75" s="231" t="s">
        <v>154</v>
      </c>
      <c r="C75" s="231" t="s">
        <v>155</v>
      </c>
      <c r="D75" s="231" t="s">
        <v>117</v>
      </c>
      <c r="E75" s="231"/>
      <c r="F75" s="231" t="s">
        <v>154</v>
      </c>
      <c r="G75" s="231" t="s">
        <v>155</v>
      </c>
      <c r="H75" s="231" t="s">
        <v>117</v>
      </c>
      <c r="I75" s="231"/>
      <c r="J75" s="231" t="s">
        <v>154</v>
      </c>
      <c r="K75" s="231" t="s">
        <v>155</v>
      </c>
      <c r="L75" s="231" t="s">
        <v>117</v>
      </c>
      <c r="M75" s="212"/>
      <c r="N75" s="212"/>
    </row>
    <row r="76" spans="1:14">
      <c r="A76" s="234"/>
      <c r="B76" s="235"/>
      <c r="C76" s="235"/>
      <c r="D76" s="235"/>
      <c r="E76" s="235"/>
      <c r="F76" s="235"/>
      <c r="G76" s="235"/>
      <c r="H76" s="235"/>
      <c r="I76" s="235"/>
      <c r="J76" s="235"/>
      <c r="K76" s="235"/>
      <c r="L76" s="235"/>
      <c r="M76" s="212"/>
      <c r="N76" s="212"/>
    </row>
    <row r="77" spans="1:14">
      <c r="A77" s="213" t="str">
        <f>name!E$4</f>
        <v>Managers, directors and senior officials</v>
      </c>
      <c r="B77" s="278">
        <v>0.12446270072459299</v>
      </c>
      <c r="C77" s="278">
        <v>0.6396083664223422</v>
      </c>
      <c r="D77" s="278">
        <f>SUM(B77:C77)</f>
        <v>0.76407106714693518</v>
      </c>
      <c r="E77" s="279"/>
      <c r="F77" s="278">
        <v>0.19597645768088995</v>
      </c>
      <c r="G77" s="278">
        <v>0.7583247126929632</v>
      </c>
      <c r="H77" s="278">
        <f>SUM(F77:G77)</f>
        <v>0.95430117037385309</v>
      </c>
      <c r="I77" s="279"/>
      <c r="J77" s="278">
        <v>0.1892849394449084</v>
      </c>
      <c r="K77" s="278">
        <v>0.6615487264454285</v>
      </c>
      <c r="L77" s="278">
        <f>SUM(J77:K77)</f>
        <v>0.85083366589033693</v>
      </c>
      <c r="M77" s="212"/>
      <c r="N77" s="212"/>
    </row>
    <row r="78" spans="1:14">
      <c r="A78" s="213" t="str">
        <f>name!E$5</f>
        <v>Professional occupations</v>
      </c>
      <c r="B78" s="278">
        <v>0.170249091023984</v>
      </c>
      <c r="C78" s="278">
        <v>1.1474994522349968</v>
      </c>
      <c r="D78" s="278">
        <f t="shared" ref="D78:D85" si="19">SUM(B78:C78)</f>
        <v>1.3177485432589808</v>
      </c>
      <c r="E78" s="279"/>
      <c r="F78" s="278">
        <v>0.25958802052858393</v>
      </c>
      <c r="G78" s="278">
        <v>1.4498905773483635</v>
      </c>
      <c r="H78" s="278">
        <f t="shared" ref="H78:H85" si="20">SUM(F78:G78)</f>
        <v>1.7094785978769473</v>
      </c>
      <c r="I78" s="279"/>
      <c r="J78" s="278">
        <v>0.27381132139335784</v>
      </c>
      <c r="K78" s="278">
        <v>1.8351589579187704</v>
      </c>
      <c r="L78" s="278">
        <f t="shared" ref="L78:L85" si="21">SUM(J78:K78)</f>
        <v>2.1089702793121283</v>
      </c>
      <c r="M78" s="212"/>
      <c r="N78" s="212"/>
    </row>
    <row r="79" spans="1:14">
      <c r="A79" s="213" t="str">
        <f>name!E$6</f>
        <v>Associate professional occupations</v>
      </c>
      <c r="B79" s="278">
        <v>0.20863030371007624</v>
      </c>
      <c r="C79" s="278">
        <v>0.49112450543135355</v>
      </c>
      <c r="D79" s="278">
        <f t="shared" si="19"/>
        <v>0.69975480914142985</v>
      </c>
      <c r="E79" s="279"/>
      <c r="F79" s="278">
        <v>0.27572407604292754</v>
      </c>
      <c r="G79" s="278">
        <v>0.60829082481051</v>
      </c>
      <c r="H79" s="278">
        <f t="shared" si="20"/>
        <v>0.88401490085343748</v>
      </c>
      <c r="I79" s="279"/>
      <c r="J79" s="278">
        <v>0.28265241946417041</v>
      </c>
      <c r="K79" s="278">
        <v>0.55224293353494769</v>
      </c>
      <c r="L79" s="278">
        <f t="shared" si="21"/>
        <v>0.8348953529991181</v>
      </c>
      <c r="M79" s="212"/>
      <c r="N79" s="212"/>
    </row>
    <row r="80" spans="1:14">
      <c r="A80" s="213" t="str">
        <f>name!E$7</f>
        <v>Administrative and secretarial occupations</v>
      </c>
      <c r="B80" s="278">
        <v>0.44413607179060877</v>
      </c>
      <c r="C80" s="278">
        <v>0.11250239547825928</v>
      </c>
      <c r="D80" s="278">
        <f t="shared" si="19"/>
        <v>0.55663846726886801</v>
      </c>
      <c r="E80" s="279"/>
      <c r="F80" s="278">
        <v>0.50273938853126021</v>
      </c>
      <c r="G80" s="278">
        <v>0.13832693549833444</v>
      </c>
      <c r="H80" s="278">
        <f t="shared" si="20"/>
        <v>0.64106632402959463</v>
      </c>
      <c r="I80" s="279"/>
      <c r="J80" s="278">
        <v>0.37902098269449569</v>
      </c>
      <c r="K80" s="278">
        <v>0.16771648265223521</v>
      </c>
      <c r="L80" s="278">
        <f t="shared" si="21"/>
        <v>0.54673746534673096</v>
      </c>
      <c r="M80" s="212"/>
      <c r="N80" s="212"/>
    </row>
    <row r="81" spans="1:14">
      <c r="A81" s="213" t="str">
        <f>name!E$8</f>
        <v>Skilled trades occupations</v>
      </c>
      <c r="B81" s="278">
        <v>4.2525809022081133E-2</v>
      </c>
      <c r="C81" s="278">
        <v>1.845592840228037</v>
      </c>
      <c r="D81" s="278">
        <f t="shared" si="19"/>
        <v>1.8881186492501181</v>
      </c>
      <c r="E81" s="279"/>
      <c r="F81" s="278">
        <v>5.2878941462214946E-2</v>
      </c>
      <c r="G81" s="278">
        <v>1.6176522274178162</v>
      </c>
      <c r="H81" s="278">
        <f t="shared" si="20"/>
        <v>1.6705311688800313</v>
      </c>
      <c r="I81" s="279"/>
      <c r="J81" s="278">
        <v>6.9263642110099027E-2</v>
      </c>
      <c r="K81" s="278">
        <v>1.2642468318582971</v>
      </c>
      <c r="L81" s="278">
        <f t="shared" si="21"/>
        <v>1.3335104739683961</v>
      </c>
      <c r="M81" s="212"/>
      <c r="N81" s="212"/>
    </row>
    <row r="82" spans="1:14">
      <c r="A82" s="213" t="str">
        <f>name!E$9</f>
        <v>Caring, leisure and other service occupations</v>
      </c>
      <c r="B82" s="278">
        <v>3.5339656626472184E-2</v>
      </c>
      <c r="C82" s="278">
        <v>1.186673782472626E-2</v>
      </c>
      <c r="D82" s="278">
        <f t="shared" si="19"/>
        <v>4.7206394451198445E-2</v>
      </c>
      <c r="E82" s="279"/>
      <c r="F82" s="278">
        <v>4.7016526383799002E-2</v>
      </c>
      <c r="G82" s="278">
        <v>1.1610344975109484E-2</v>
      </c>
      <c r="H82" s="278">
        <f t="shared" si="20"/>
        <v>5.8626871358908483E-2</v>
      </c>
      <c r="I82" s="279"/>
      <c r="J82" s="278">
        <v>5.1141200194961593E-2</v>
      </c>
      <c r="K82" s="278">
        <v>1.1558301678192389E-2</v>
      </c>
      <c r="L82" s="278">
        <f t="shared" si="21"/>
        <v>6.2699501873153984E-2</v>
      </c>
      <c r="M82" s="212"/>
      <c r="N82" s="212"/>
    </row>
    <row r="83" spans="1:14">
      <c r="A83" s="213" t="str">
        <f>name!E$10</f>
        <v>Sales and customer service occupations</v>
      </c>
      <c r="B83" s="278">
        <v>9.3682808682820959E-2</v>
      </c>
      <c r="C83" s="278">
        <v>0.10512610075971568</v>
      </c>
      <c r="D83" s="278">
        <f t="shared" si="19"/>
        <v>0.19880890944253665</v>
      </c>
      <c r="E83" s="279"/>
      <c r="F83" s="278">
        <v>0.1092815164525132</v>
      </c>
      <c r="G83" s="278">
        <v>0.12297604178453142</v>
      </c>
      <c r="H83" s="278">
        <f t="shared" si="20"/>
        <v>0.23225755823704464</v>
      </c>
      <c r="I83" s="279"/>
      <c r="J83" s="278">
        <v>9.0290004138409236E-2</v>
      </c>
      <c r="K83" s="278">
        <v>0.14958349273254953</v>
      </c>
      <c r="L83" s="278">
        <f t="shared" si="21"/>
        <v>0.23987349687095877</v>
      </c>
      <c r="M83" s="212"/>
      <c r="N83" s="212"/>
    </row>
    <row r="84" spans="1:14">
      <c r="A84" s="213" t="str">
        <f>name!E$11</f>
        <v>Process, plant and machine operatives</v>
      </c>
      <c r="B84" s="278">
        <v>0.2601581817217189</v>
      </c>
      <c r="C84" s="278">
        <v>0.95499145772836413</v>
      </c>
      <c r="D84" s="278">
        <f t="shared" si="19"/>
        <v>1.2151496394500829</v>
      </c>
      <c r="E84" s="279"/>
      <c r="F84" s="278">
        <v>0.20985406587982133</v>
      </c>
      <c r="G84" s="278">
        <v>0.81977166431364612</v>
      </c>
      <c r="H84" s="278">
        <f t="shared" si="20"/>
        <v>1.0296257301934675</v>
      </c>
      <c r="I84" s="279"/>
      <c r="J84" s="278">
        <v>0.1742639565091727</v>
      </c>
      <c r="K84" s="278">
        <v>0.68363649963854434</v>
      </c>
      <c r="L84" s="278">
        <f t="shared" si="21"/>
        <v>0.85790045614771704</v>
      </c>
      <c r="M84" s="212"/>
      <c r="N84" s="212"/>
    </row>
    <row r="85" spans="1:14">
      <c r="A85" s="213" t="str">
        <f>name!E$12</f>
        <v>Elementary occupations</v>
      </c>
      <c r="B85" s="278">
        <v>7.7311581345924252E-2</v>
      </c>
      <c r="C85" s="278">
        <v>0.19519193924393097</v>
      </c>
      <c r="D85" s="278">
        <f t="shared" si="19"/>
        <v>0.27250352058985522</v>
      </c>
      <c r="E85" s="279"/>
      <c r="F85" s="278">
        <v>6.9446663515760149E-2</v>
      </c>
      <c r="G85" s="278">
        <v>0.1656510146809439</v>
      </c>
      <c r="H85" s="278">
        <f t="shared" si="20"/>
        <v>0.23509767819670405</v>
      </c>
      <c r="I85" s="279"/>
      <c r="J85" s="278">
        <v>0.10601546464101561</v>
      </c>
      <c r="K85" s="278">
        <v>0.14956384295044212</v>
      </c>
      <c r="L85" s="278">
        <f t="shared" si="21"/>
        <v>0.25557930759145775</v>
      </c>
      <c r="M85" s="212"/>
      <c r="N85" s="212"/>
    </row>
    <row r="86" spans="1:14">
      <c r="A86" s="213"/>
      <c r="B86" s="278"/>
      <c r="C86" s="278"/>
      <c r="D86" s="278"/>
      <c r="E86" s="279"/>
      <c r="F86" s="278"/>
      <c r="G86" s="278"/>
      <c r="H86" s="278"/>
      <c r="I86" s="279"/>
      <c r="J86" s="278"/>
      <c r="K86" s="278"/>
      <c r="L86" s="278"/>
      <c r="M86" s="212"/>
      <c r="N86" s="212"/>
    </row>
    <row r="87" spans="1:14">
      <c r="A87" s="220" t="s">
        <v>117</v>
      </c>
      <c r="B87" s="282">
        <f>SUM(B77:B85)</f>
        <v>1.4564962046482792</v>
      </c>
      <c r="C87" s="282">
        <f t="shared" ref="C87:D87" si="22">SUM(C77:C85)</f>
        <v>5.5035037953517261</v>
      </c>
      <c r="D87" s="282">
        <f t="shared" si="22"/>
        <v>6.9600000000000053</v>
      </c>
      <c r="E87" s="282"/>
      <c r="F87" s="282">
        <f t="shared" ref="F87:H87" si="23">SUM(F77:F85)</f>
        <v>1.7225056564777703</v>
      </c>
      <c r="G87" s="282">
        <f t="shared" si="23"/>
        <v>5.6924943435222177</v>
      </c>
      <c r="H87" s="282">
        <f t="shared" si="23"/>
        <v>7.4149999999999894</v>
      </c>
      <c r="I87" s="282"/>
      <c r="J87" s="282">
        <f t="shared" ref="J87:L87" si="24">SUM(J77:J85)</f>
        <v>1.6157439305905905</v>
      </c>
      <c r="K87" s="282">
        <f t="shared" si="24"/>
        <v>5.4752560694094079</v>
      </c>
      <c r="L87" s="282">
        <f t="shared" si="24"/>
        <v>7.0909999999999975</v>
      </c>
      <c r="M87" s="212"/>
      <c r="N87" s="212"/>
    </row>
    <row r="88" spans="1:14">
      <c r="A88" s="213"/>
      <c r="B88" s="213"/>
      <c r="C88" s="213"/>
      <c r="D88" s="213"/>
      <c r="E88" s="213"/>
      <c r="F88" s="213"/>
      <c r="G88" s="213"/>
      <c r="H88" s="213"/>
      <c r="I88" s="213"/>
      <c r="J88" s="213"/>
      <c r="K88" s="213"/>
      <c r="L88" s="216"/>
      <c r="M88" s="212"/>
      <c r="N88" s="212"/>
    </row>
    <row r="89" spans="1:14">
      <c r="A89" s="213"/>
      <c r="B89" s="213"/>
      <c r="C89" s="213"/>
      <c r="D89" s="213"/>
      <c r="E89" s="213"/>
      <c r="F89" s="213"/>
      <c r="G89" s="213"/>
      <c r="H89" s="213"/>
      <c r="I89" s="213"/>
      <c r="J89" s="213"/>
      <c r="K89" s="213"/>
      <c r="L89" s="232" t="s">
        <v>112</v>
      </c>
      <c r="M89" s="212"/>
      <c r="N89" s="212"/>
    </row>
    <row r="90" spans="1:14">
      <c r="A90" s="218"/>
      <c r="B90" s="226"/>
      <c r="C90" s="226"/>
      <c r="D90" s="226"/>
      <c r="E90" s="226"/>
      <c r="F90" s="226"/>
      <c r="G90" s="226"/>
      <c r="H90" s="226"/>
      <c r="I90" s="226"/>
      <c r="J90" s="226"/>
      <c r="K90" s="226"/>
      <c r="L90" s="212"/>
      <c r="M90" s="212"/>
      <c r="N90" s="212"/>
    </row>
    <row r="91" spans="1:14">
      <c r="A91" s="217" t="str">
        <f>name!B8</f>
        <v>Rest of manufacturing</v>
      </c>
      <c r="B91" s="347">
        <f>B$6</f>
        <v>2015</v>
      </c>
      <c r="C91" s="347"/>
      <c r="D91" s="347"/>
      <c r="E91" s="229"/>
      <c r="F91" s="347">
        <f>F74</f>
        <v>2020</v>
      </c>
      <c r="G91" s="347"/>
      <c r="H91" s="347"/>
      <c r="I91" s="229"/>
      <c r="J91" s="347">
        <f>J74</f>
        <v>2035</v>
      </c>
      <c r="K91" s="347"/>
      <c r="L91" s="347"/>
      <c r="M91" s="212"/>
      <c r="N91" s="212"/>
    </row>
    <row r="92" spans="1:14">
      <c r="A92" s="230"/>
      <c r="B92" s="231" t="s">
        <v>154</v>
      </c>
      <c r="C92" s="231" t="s">
        <v>155</v>
      </c>
      <c r="D92" s="231" t="s">
        <v>117</v>
      </c>
      <c r="E92" s="231"/>
      <c r="F92" s="231" t="s">
        <v>154</v>
      </c>
      <c r="G92" s="231" t="s">
        <v>155</v>
      </c>
      <c r="H92" s="231" t="s">
        <v>117</v>
      </c>
      <c r="I92" s="231"/>
      <c r="J92" s="231" t="s">
        <v>154</v>
      </c>
      <c r="K92" s="231" t="s">
        <v>155</v>
      </c>
      <c r="L92" s="231" t="s">
        <v>117</v>
      </c>
      <c r="M92" s="212"/>
      <c r="N92" s="212"/>
    </row>
    <row r="93" spans="1:14">
      <c r="A93" s="234"/>
      <c r="B93" s="235"/>
      <c r="C93" s="235"/>
      <c r="D93" s="235"/>
      <c r="E93" s="235"/>
      <c r="F93" s="235"/>
      <c r="G93" s="235"/>
      <c r="H93" s="235"/>
      <c r="I93" s="235"/>
      <c r="J93" s="235"/>
      <c r="K93" s="235"/>
      <c r="L93" s="235"/>
      <c r="M93" s="212"/>
      <c r="N93" s="212"/>
    </row>
    <row r="94" spans="1:14">
      <c r="A94" s="213" t="str">
        <f>name!E$4</f>
        <v>Managers, directors and senior officials</v>
      </c>
      <c r="B94" s="278">
        <v>0.76774127783901325</v>
      </c>
      <c r="C94" s="278">
        <v>3.8363371180362034</v>
      </c>
      <c r="D94" s="278">
        <f>SUM(B94:C94)</f>
        <v>4.6040783958752165</v>
      </c>
      <c r="E94" s="279"/>
      <c r="F94" s="278">
        <v>1.0721500913380098</v>
      </c>
      <c r="G94" s="278">
        <v>3.9090891851359211</v>
      </c>
      <c r="H94" s="278">
        <f>SUM(F94:G94)</f>
        <v>4.9812392764739304</v>
      </c>
      <c r="I94" s="279"/>
      <c r="J94" s="278">
        <v>0.88289562473050209</v>
      </c>
      <c r="K94" s="278">
        <v>3.1400424600280896</v>
      </c>
      <c r="L94" s="278">
        <f>SUM(J94:K94)</f>
        <v>4.022938084758592</v>
      </c>
      <c r="M94" s="212"/>
      <c r="N94" s="212"/>
    </row>
    <row r="95" spans="1:14">
      <c r="A95" s="213" t="str">
        <f>name!E$5</f>
        <v>Professional occupations</v>
      </c>
      <c r="B95" s="278">
        <v>0.99841237305325514</v>
      </c>
      <c r="C95" s="278">
        <v>5.6747170804915834</v>
      </c>
      <c r="D95" s="278">
        <f t="shared" ref="D95:D102" si="25">SUM(B95:C95)</f>
        <v>6.6731294535448384</v>
      </c>
      <c r="E95" s="279"/>
      <c r="F95" s="278">
        <v>1.476402181604094</v>
      </c>
      <c r="G95" s="278">
        <v>6.5000579299740986</v>
      </c>
      <c r="H95" s="278">
        <f t="shared" ref="H95:H102" si="26">SUM(F95:G95)</f>
        <v>7.9764601115781923</v>
      </c>
      <c r="I95" s="279"/>
      <c r="J95" s="278">
        <v>1.4863860921151926</v>
      </c>
      <c r="K95" s="278">
        <v>7.3903669191076364</v>
      </c>
      <c r="L95" s="278">
        <f t="shared" ref="L95:L102" si="27">SUM(J95:K95)</f>
        <v>8.8767530112228297</v>
      </c>
      <c r="M95" s="212"/>
      <c r="N95" s="212"/>
    </row>
    <row r="96" spans="1:14">
      <c r="A96" s="213" t="str">
        <f>name!E$6</f>
        <v>Associate professional occupations</v>
      </c>
      <c r="B96" s="278">
        <v>1.2007459961002847</v>
      </c>
      <c r="C96" s="278">
        <v>3.1966003407800736</v>
      </c>
      <c r="D96" s="278">
        <f t="shared" si="25"/>
        <v>4.397346336880358</v>
      </c>
      <c r="E96" s="279"/>
      <c r="F96" s="278">
        <v>1.5163153393845694</v>
      </c>
      <c r="G96" s="278">
        <v>3.5299286110419539</v>
      </c>
      <c r="H96" s="278">
        <f t="shared" si="26"/>
        <v>5.0462439504265237</v>
      </c>
      <c r="I96" s="279"/>
      <c r="J96" s="278">
        <v>1.3492897404238233</v>
      </c>
      <c r="K96" s="278">
        <v>2.9532190253102035</v>
      </c>
      <c r="L96" s="278">
        <f t="shared" si="27"/>
        <v>4.3025087657340269</v>
      </c>
      <c r="M96" s="212"/>
      <c r="N96" s="212"/>
    </row>
    <row r="97" spans="1:14">
      <c r="A97" s="213" t="str">
        <f>name!E$7</f>
        <v>Administrative and secretarial occupations</v>
      </c>
      <c r="B97" s="278">
        <v>2.5636713481310611</v>
      </c>
      <c r="C97" s="278">
        <v>1.2206371055442635</v>
      </c>
      <c r="D97" s="278">
        <f t="shared" si="25"/>
        <v>3.7843084536753246</v>
      </c>
      <c r="E97" s="279"/>
      <c r="F97" s="278">
        <v>2.6244511073942998</v>
      </c>
      <c r="G97" s="278">
        <v>1.4202745596107158</v>
      </c>
      <c r="H97" s="278">
        <f t="shared" si="26"/>
        <v>4.0447256670050153</v>
      </c>
      <c r="I97" s="279"/>
      <c r="J97" s="278">
        <v>1.8963425881488234</v>
      </c>
      <c r="K97" s="278">
        <v>1.453792369690369</v>
      </c>
      <c r="L97" s="278">
        <f t="shared" si="27"/>
        <v>3.3501349578391926</v>
      </c>
      <c r="M97" s="212"/>
      <c r="N97" s="212"/>
    </row>
    <row r="98" spans="1:14">
      <c r="A98" s="213" t="str">
        <f>name!E$8</f>
        <v>Skilled trades occupations</v>
      </c>
      <c r="B98" s="278">
        <v>0.62300335284859687</v>
      </c>
      <c r="C98" s="278">
        <v>17.269918502848171</v>
      </c>
      <c r="D98" s="278">
        <f t="shared" si="25"/>
        <v>17.892921855696766</v>
      </c>
      <c r="E98" s="279"/>
      <c r="F98" s="278">
        <v>0.76128336900328553</v>
      </c>
      <c r="G98" s="278">
        <v>12.680341624383781</v>
      </c>
      <c r="H98" s="278">
        <f t="shared" si="26"/>
        <v>13.441624993387066</v>
      </c>
      <c r="I98" s="279"/>
      <c r="J98" s="278">
        <v>0.66047541583330782</v>
      </c>
      <c r="K98" s="278">
        <v>9.8009986732949628</v>
      </c>
      <c r="L98" s="278">
        <f t="shared" si="27"/>
        <v>10.46147408912827</v>
      </c>
      <c r="M98" s="212"/>
      <c r="N98" s="212"/>
    </row>
    <row r="99" spans="1:14">
      <c r="A99" s="213" t="str">
        <f>name!E$9</f>
        <v>Caring, leisure and other service occupations</v>
      </c>
      <c r="B99" s="278">
        <v>0.28320449705862677</v>
      </c>
      <c r="C99" s="278">
        <v>0.22085475038664101</v>
      </c>
      <c r="D99" s="278">
        <f t="shared" si="25"/>
        <v>0.50405924744526776</v>
      </c>
      <c r="E99" s="279"/>
      <c r="F99" s="278">
        <v>0.30955127985600833</v>
      </c>
      <c r="G99" s="278">
        <v>0.36115359081849857</v>
      </c>
      <c r="H99" s="278">
        <f t="shared" si="26"/>
        <v>0.6707048706745069</v>
      </c>
      <c r="I99" s="279"/>
      <c r="J99" s="278">
        <v>0.22814942055500054</v>
      </c>
      <c r="K99" s="278">
        <v>0.36984945481801229</v>
      </c>
      <c r="L99" s="278">
        <f t="shared" si="27"/>
        <v>0.59799887537301277</v>
      </c>
      <c r="M99" s="212"/>
      <c r="N99" s="212"/>
    </row>
    <row r="100" spans="1:14">
      <c r="A100" s="213" t="str">
        <f>name!E$10</f>
        <v>Sales and customer service occupations</v>
      </c>
      <c r="B100" s="278">
        <v>0.74410066599672053</v>
      </c>
      <c r="C100" s="278">
        <v>0.84632933483962203</v>
      </c>
      <c r="D100" s="278">
        <f t="shared" si="25"/>
        <v>1.5904300008363426</v>
      </c>
      <c r="E100" s="279"/>
      <c r="F100" s="278">
        <v>0.75048844053899111</v>
      </c>
      <c r="G100" s="278">
        <v>0.93050015880414094</v>
      </c>
      <c r="H100" s="278">
        <f t="shared" si="26"/>
        <v>1.6809885993431322</v>
      </c>
      <c r="I100" s="279"/>
      <c r="J100" s="278">
        <v>0.60101286711124047</v>
      </c>
      <c r="K100" s="278">
        <v>0.90984377652435133</v>
      </c>
      <c r="L100" s="278">
        <f t="shared" si="27"/>
        <v>1.5108566436355919</v>
      </c>
      <c r="M100" s="212"/>
      <c r="N100" s="212"/>
    </row>
    <row r="101" spans="1:14">
      <c r="A101" s="213" t="str">
        <f>name!E$11</f>
        <v>Process, plant and machine operatives</v>
      </c>
      <c r="B101" s="278">
        <v>1.6174961649732729</v>
      </c>
      <c r="C101" s="278">
        <v>10.578337836400122</v>
      </c>
      <c r="D101" s="278">
        <f t="shared" si="25"/>
        <v>12.195834001373395</v>
      </c>
      <c r="E101" s="279"/>
      <c r="F101" s="278">
        <v>1.5849861147454669</v>
      </c>
      <c r="G101" s="278">
        <v>8.2102558527697056</v>
      </c>
      <c r="H101" s="278">
        <f t="shared" si="26"/>
        <v>9.7952419675151727</v>
      </c>
      <c r="I101" s="279"/>
      <c r="J101" s="278">
        <v>1.5542237997410138</v>
      </c>
      <c r="K101" s="278">
        <v>6.6193190597708851</v>
      </c>
      <c r="L101" s="278">
        <f t="shared" si="27"/>
        <v>8.1735428595118993</v>
      </c>
      <c r="M101" s="212"/>
      <c r="N101" s="212"/>
    </row>
    <row r="102" spans="1:14">
      <c r="A102" s="213" t="str">
        <f>name!E$12</f>
        <v>Elementary occupations</v>
      </c>
      <c r="B102" s="278">
        <v>0.83031489495585753</v>
      </c>
      <c r="C102" s="278">
        <v>2.2145773597165643</v>
      </c>
      <c r="D102" s="278">
        <f t="shared" si="25"/>
        <v>3.0448922546724217</v>
      </c>
      <c r="E102" s="279"/>
      <c r="F102" s="278">
        <v>0.71906635815505249</v>
      </c>
      <c r="G102" s="278">
        <v>1.8107042054414166</v>
      </c>
      <c r="H102" s="278">
        <f t="shared" si="26"/>
        <v>2.5297705635964691</v>
      </c>
      <c r="I102" s="279"/>
      <c r="J102" s="278">
        <v>0.8505981085818316</v>
      </c>
      <c r="K102" s="278">
        <v>1.4631946042146708</v>
      </c>
      <c r="L102" s="278">
        <f t="shared" si="27"/>
        <v>2.3137927127965026</v>
      </c>
      <c r="M102" s="212"/>
      <c r="N102" s="212"/>
    </row>
    <row r="103" spans="1:14">
      <c r="A103" s="213"/>
      <c r="B103" s="278"/>
      <c r="C103" s="278"/>
      <c r="D103" s="278"/>
      <c r="E103" s="279"/>
      <c r="F103" s="278"/>
      <c r="G103" s="278"/>
      <c r="H103" s="278"/>
      <c r="I103" s="279"/>
      <c r="J103" s="278"/>
      <c r="K103" s="278"/>
      <c r="L103" s="278"/>
      <c r="M103" s="212"/>
      <c r="N103" s="212"/>
    </row>
    <row r="104" spans="1:14">
      <c r="A104" s="220" t="s">
        <v>117</v>
      </c>
      <c r="B104" s="282">
        <f>SUM(B94:B102)</f>
        <v>9.6286905709566906</v>
      </c>
      <c r="C104" s="282">
        <f t="shared" ref="C104:D104" si="28">SUM(C94:C102)</f>
        <v>45.058309429043248</v>
      </c>
      <c r="D104" s="282">
        <f t="shared" si="28"/>
        <v>54.686999999999927</v>
      </c>
      <c r="E104" s="282"/>
      <c r="F104" s="282">
        <f t="shared" ref="F104:H104" si="29">SUM(F94:F102)</f>
        <v>10.814694282019778</v>
      </c>
      <c r="G104" s="282">
        <f t="shared" si="29"/>
        <v>39.352305717980236</v>
      </c>
      <c r="H104" s="282">
        <f t="shared" si="29"/>
        <v>50.167000000000009</v>
      </c>
      <c r="I104" s="282"/>
      <c r="J104" s="282">
        <f t="shared" ref="J104:L104" si="30">SUM(J94:J102)</f>
        <v>9.5093736572407366</v>
      </c>
      <c r="K104" s="282">
        <f t="shared" si="30"/>
        <v>34.100626342759185</v>
      </c>
      <c r="L104" s="282">
        <f t="shared" si="30"/>
        <v>43.609999999999921</v>
      </c>
      <c r="M104" s="212"/>
      <c r="N104" s="212"/>
    </row>
    <row r="105" spans="1:14">
      <c r="A105" s="213"/>
      <c r="B105" s="213"/>
      <c r="C105" s="213"/>
      <c r="D105" s="213"/>
      <c r="E105" s="213"/>
      <c r="F105" s="213"/>
      <c r="G105" s="213"/>
      <c r="H105" s="213"/>
      <c r="I105" s="213"/>
      <c r="J105" s="213"/>
      <c r="K105" s="213"/>
      <c r="L105" s="216"/>
      <c r="M105" s="212"/>
      <c r="N105" s="212"/>
    </row>
    <row r="106" spans="1:14">
      <c r="A106" s="213"/>
      <c r="B106" s="213"/>
      <c r="C106" s="213"/>
      <c r="D106" s="213"/>
      <c r="E106" s="213"/>
      <c r="F106" s="213"/>
      <c r="G106" s="213"/>
      <c r="H106" s="213"/>
      <c r="I106" s="213"/>
      <c r="J106" s="213"/>
      <c r="K106" s="213"/>
      <c r="L106" s="232" t="s">
        <v>112</v>
      </c>
      <c r="M106" s="212"/>
      <c r="N106" s="212"/>
    </row>
    <row r="107" spans="1:14">
      <c r="A107" s="218"/>
      <c r="B107" s="226"/>
      <c r="C107" s="226"/>
      <c r="D107" s="226"/>
      <c r="E107" s="226"/>
      <c r="F107" s="226"/>
      <c r="G107" s="226"/>
      <c r="H107" s="226"/>
      <c r="I107" s="226"/>
      <c r="J107" s="226"/>
      <c r="K107" s="226"/>
      <c r="L107" s="212"/>
      <c r="M107" s="212"/>
      <c r="N107" s="212"/>
    </row>
    <row r="108" spans="1:14">
      <c r="A108" s="217" t="str">
        <f>name!B9</f>
        <v>Electricity and gas</v>
      </c>
      <c r="B108" s="347">
        <f>B$6</f>
        <v>2015</v>
      </c>
      <c r="C108" s="347"/>
      <c r="D108" s="347"/>
      <c r="E108" s="229"/>
      <c r="F108" s="347">
        <f>F91</f>
        <v>2020</v>
      </c>
      <c r="G108" s="347"/>
      <c r="H108" s="347"/>
      <c r="I108" s="229"/>
      <c r="J108" s="347">
        <f>J91</f>
        <v>2035</v>
      </c>
      <c r="K108" s="347"/>
      <c r="L108" s="347"/>
      <c r="M108" s="212"/>
      <c r="N108" s="212"/>
    </row>
    <row r="109" spans="1:14">
      <c r="A109" s="230"/>
      <c r="B109" s="231" t="s">
        <v>154</v>
      </c>
      <c r="C109" s="231" t="s">
        <v>155</v>
      </c>
      <c r="D109" s="231" t="s">
        <v>117</v>
      </c>
      <c r="E109" s="231"/>
      <c r="F109" s="231" t="s">
        <v>154</v>
      </c>
      <c r="G109" s="231" t="s">
        <v>155</v>
      </c>
      <c r="H109" s="231" t="s">
        <v>117</v>
      </c>
      <c r="I109" s="231"/>
      <c r="J109" s="231" t="s">
        <v>154</v>
      </c>
      <c r="K109" s="231" t="s">
        <v>155</v>
      </c>
      <c r="L109" s="231" t="s">
        <v>117</v>
      </c>
      <c r="M109" s="212"/>
      <c r="N109" s="212"/>
    </row>
    <row r="110" spans="1:14">
      <c r="A110" s="234"/>
      <c r="B110" s="235"/>
      <c r="C110" s="235"/>
      <c r="D110" s="235"/>
      <c r="E110" s="235"/>
      <c r="F110" s="235"/>
      <c r="G110" s="235"/>
      <c r="H110" s="235"/>
      <c r="I110" s="235"/>
      <c r="J110" s="235"/>
      <c r="K110" s="235"/>
      <c r="L110" s="235"/>
      <c r="M110" s="212"/>
      <c r="N110" s="212"/>
    </row>
    <row r="111" spans="1:14">
      <c r="A111" s="213" t="str">
        <f>name!E$4</f>
        <v>Managers, directors and senior officials</v>
      </c>
      <c r="B111" s="278">
        <v>0.16074099371055775</v>
      </c>
      <c r="C111" s="278">
        <v>0.35202685562289088</v>
      </c>
      <c r="D111" s="278">
        <f>SUM(B111:C111)</f>
        <v>0.51276784933344866</v>
      </c>
      <c r="E111" s="279"/>
      <c r="F111" s="278">
        <v>8.7776267997939611E-2</v>
      </c>
      <c r="G111" s="278">
        <v>0.12242520081415774</v>
      </c>
      <c r="H111" s="278">
        <f>SUM(F111:G111)</f>
        <v>0.21020146881209734</v>
      </c>
      <c r="I111" s="279"/>
      <c r="J111" s="278">
        <v>8.5086325125853859E-2</v>
      </c>
      <c r="K111" s="278">
        <v>0.10220572890497645</v>
      </c>
      <c r="L111" s="278">
        <f>SUM(J111:K111)</f>
        <v>0.18729205403083032</v>
      </c>
      <c r="M111" s="212"/>
      <c r="N111" s="212"/>
    </row>
    <row r="112" spans="1:14">
      <c r="A112" s="213" t="str">
        <f>name!E$5</f>
        <v>Professional occupations</v>
      </c>
      <c r="B112" s="278">
        <v>0.18645085466336606</v>
      </c>
      <c r="C112" s="278">
        <v>0.93926867791596969</v>
      </c>
      <c r="D112" s="278">
        <f t="shared" ref="D112:D119" si="31">SUM(B112:C112)</f>
        <v>1.1257195325793357</v>
      </c>
      <c r="E112" s="279"/>
      <c r="F112" s="278">
        <v>0.11180233437636312</v>
      </c>
      <c r="G112" s="278">
        <v>0.39563696685657218</v>
      </c>
      <c r="H112" s="278">
        <f t="shared" ref="H112:H119" si="32">SUM(F112:G112)</f>
        <v>0.50743930123293535</v>
      </c>
      <c r="I112" s="279"/>
      <c r="J112" s="278">
        <v>0.13467556879901302</v>
      </c>
      <c r="K112" s="278">
        <v>0.45747252034106384</v>
      </c>
      <c r="L112" s="278">
        <f t="shared" ref="L112:L119" si="33">SUM(J112:K112)</f>
        <v>0.59214808914007688</v>
      </c>
      <c r="M112" s="212"/>
      <c r="N112" s="212"/>
    </row>
    <row r="113" spans="1:14">
      <c r="A113" s="213" t="str">
        <f>name!E$6</f>
        <v>Associate professional occupations</v>
      </c>
      <c r="B113" s="278">
        <v>0.17885828896224368</v>
      </c>
      <c r="C113" s="278">
        <v>0.58600925149011729</v>
      </c>
      <c r="D113" s="278">
        <f t="shared" si="31"/>
        <v>0.76486754045236094</v>
      </c>
      <c r="E113" s="279"/>
      <c r="F113" s="278">
        <v>9.2739194849370557E-2</v>
      </c>
      <c r="G113" s="278">
        <v>0.25815843923961629</v>
      </c>
      <c r="H113" s="278">
        <f t="shared" si="32"/>
        <v>0.35089763408898683</v>
      </c>
      <c r="I113" s="279"/>
      <c r="J113" s="278">
        <v>9.422803612515207E-2</v>
      </c>
      <c r="K113" s="278">
        <v>0.22145604593517709</v>
      </c>
      <c r="L113" s="278">
        <f t="shared" si="33"/>
        <v>0.31568408206032916</v>
      </c>
      <c r="M113" s="212"/>
      <c r="N113" s="212"/>
    </row>
    <row r="114" spans="1:14">
      <c r="A114" s="213" t="str">
        <f>name!E$7</f>
        <v>Administrative and secretarial occupations</v>
      </c>
      <c r="B114" s="278">
        <v>0.42882171596997143</v>
      </c>
      <c r="C114" s="278">
        <v>0.19766563514522795</v>
      </c>
      <c r="D114" s="278">
        <f t="shared" si="31"/>
        <v>0.62648735111519938</v>
      </c>
      <c r="E114" s="279"/>
      <c r="F114" s="278">
        <v>0.17268556027840226</v>
      </c>
      <c r="G114" s="278">
        <v>7.7458788003689771E-2</v>
      </c>
      <c r="H114" s="278">
        <f t="shared" si="32"/>
        <v>0.25014434828209203</v>
      </c>
      <c r="I114" s="279"/>
      <c r="J114" s="278">
        <v>0.12217929357412706</v>
      </c>
      <c r="K114" s="278">
        <v>7.5328512468097186E-2</v>
      </c>
      <c r="L114" s="278">
        <f t="shared" si="33"/>
        <v>0.19750780604222423</v>
      </c>
      <c r="M114" s="212"/>
      <c r="N114" s="212"/>
    </row>
    <row r="115" spans="1:14">
      <c r="A115" s="213" t="str">
        <f>name!E$8</f>
        <v>Skilled trades occupations</v>
      </c>
      <c r="B115" s="278">
        <v>2.2396537924053442E-2</v>
      </c>
      <c r="C115" s="278">
        <v>1.3313301389815151</v>
      </c>
      <c r="D115" s="278">
        <f t="shared" si="31"/>
        <v>1.3537266769055685</v>
      </c>
      <c r="E115" s="279"/>
      <c r="F115" s="278">
        <v>1.1241130691376767E-2</v>
      </c>
      <c r="G115" s="278">
        <v>0.3646970180941419</v>
      </c>
      <c r="H115" s="278">
        <f t="shared" si="32"/>
        <v>0.37593814878551868</v>
      </c>
      <c r="I115" s="279"/>
      <c r="J115" s="278">
        <v>1.9856213301825392E-2</v>
      </c>
      <c r="K115" s="278">
        <v>0.25003573994078038</v>
      </c>
      <c r="L115" s="278">
        <f t="shared" si="33"/>
        <v>0.26989195324260579</v>
      </c>
      <c r="M115" s="212"/>
      <c r="N115" s="212"/>
    </row>
    <row r="116" spans="1:14">
      <c r="A116" s="213" t="str">
        <f>name!E$9</f>
        <v>Caring, leisure and other service occupations</v>
      </c>
      <c r="B116" s="278">
        <v>2.640179582336424E-2</v>
      </c>
      <c r="C116" s="278">
        <v>3.1572468597159349E-2</v>
      </c>
      <c r="D116" s="278">
        <f t="shared" si="31"/>
        <v>5.7974264420523586E-2</v>
      </c>
      <c r="E116" s="279"/>
      <c r="F116" s="278">
        <v>9.7991824695739665E-3</v>
      </c>
      <c r="G116" s="278">
        <v>1.0079730394202582E-2</v>
      </c>
      <c r="H116" s="278">
        <f t="shared" si="32"/>
        <v>1.9878912863776549E-2</v>
      </c>
      <c r="I116" s="279"/>
      <c r="J116" s="278">
        <v>6.1910305670447611E-3</v>
      </c>
      <c r="K116" s="278">
        <v>7.745381523125012E-3</v>
      </c>
      <c r="L116" s="278">
        <f t="shared" si="33"/>
        <v>1.3936412090169773E-2</v>
      </c>
      <c r="M116" s="212"/>
      <c r="N116" s="212"/>
    </row>
    <row r="117" spans="1:14">
      <c r="A117" s="213" t="str">
        <f>name!E$10</f>
        <v>Sales and customer service occupations</v>
      </c>
      <c r="B117" s="278">
        <v>0.21622168329381106</v>
      </c>
      <c r="C117" s="278">
        <v>0.20254210733467001</v>
      </c>
      <c r="D117" s="278">
        <f t="shared" si="31"/>
        <v>0.41876379062848107</v>
      </c>
      <c r="E117" s="279"/>
      <c r="F117" s="278">
        <v>9.3235536563412172E-2</v>
      </c>
      <c r="G117" s="278">
        <v>6.6042716955970082E-2</v>
      </c>
      <c r="H117" s="278">
        <f t="shared" si="32"/>
        <v>0.15927825351938224</v>
      </c>
      <c r="I117" s="279"/>
      <c r="J117" s="278">
        <v>8.9582719535250141E-2</v>
      </c>
      <c r="K117" s="278">
        <v>7.0528561864527994E-2</v>
      </c>
      <c r="L117" s="278">
        <f t="shared" si="33"/>
        <v>0.16011128139977815</v>
      </c>
      <c r="M117" s="212"/>
      <c r="N117" s="212"/>
    </row>
    <row r="118" spans="1:14">
      <c r="A118" s="213" t="str">
        <f>name!E$11</f>
        <v>Process, plant and machine operatives</v>
      </c>
      <c r="B118" s="278">
        <v>1.9613666082684836E-2</v>
      </c>
      <c r="C118" s="278">
        <v>0.25847849140882123</v>
      </c>
      <c r="D118" s="278">
        <f t="shared" si="31"/>
        <v>0.27809215749150606</v>
      </c>
      <c r="E118" s="279"/>
      <c r="F118" s="278">
        <v>6.3431772795506632E-3</v>
      </c>
      <c r="G118" s="278">
        <v>6.803431951976914E-2</v>
      </c>
      <c r="H118" s="278">
        <f t="shared" si="32"/>
        <v>7.4377496799319806E-2</v>
      </c>
      <c r="I118" s="279"/>
      <c r="J118" s="278">
        <v>3.198942397979361E-3</v>
      </c>
      <c r="K118" s="278">
        <v>5.9004921740688006E-2</v>
      </c>
      <c r="L118" s="278">
        <f t="shared" si="33"/>
        <v>6.2203864138667367E-2</v>
      </c>
      <c r="M118" s="212"/>
      <c r="N118" s="212"/>
    </row>
    <row r="119" spans="1:14">
      <c r="A119" s="213" t="str">
        <f>name!E$12</f>
        <v>Elementary occupations</v>
      </c>
      <c r="B119" s="278">
        <v>2.2627945307216107E-2</v>
      </c>
      <c r="C119" s="278">
        <v>6.3972891766354859E-2</v>
      </c>
      <c r="D119" s="278">
        <f t="shared" si="31"/>
        <v>8.6600837073570969E-2</v>
      </c>
      <c r="E119" s="279"/>
      <c r="F119" s="278">
        <v>7.1145535185988566E-3</v>
      </c>
      <c r="G119" s="278">
        <v>1.572988209729026E-2</v>
      </c>
      <c r="H119" s="278">
        <f t="shared" si="32"/>
        <v>2.2844435615889117E-2</v>
      </c>
      <c r="I119" s="279"/>
      <c r="J119" s="278">
        <v>7.7520780458349226E-3</v>
      </c>
      <c r="K119" s="278">
        <v>1.1472379809486526E-2</v>
      </c>
      <c r="L119" s="278">
        <f t="shared" si="33"/>
        <v>1.9224457855321449E-2</v>
      </c>
      <c r="M119" s="212"/>
      <c r="N119" s="212"/>
    </row>
    <row r="120" spans="1:14">
      <c r="A120" s="213"/>
      <c r="B120" s="278"/>
      <c r="C120" s="278"/>
      <c r="D120" s="278"/>
      <c r="E120" s="279"/>
      <c r="F120" s="278"/>
      <c r="G120" s="278"/>
      <c r="H120" s="278"/>
      <c r="I120" s="279"/>
      <c r="J120" s="278"/>
      <c r="K120" s="278"/>
      <c r="L120" s="278"/>
      <c r="M120" s="212"/>
      <c r="N120" s="212"/>
    </row>
    <row r="121" spans="1:14">
      <c r="A121" s="220" t="s">
        <v>117</v>
      </c>
      <c r="B121" s="282">
        <f>SUM(B111:B119)</f>
        <v>1.2621334817372687</v>
      </c>
      <c r="C121" s="282">
        <f t="shared" ref="C121:D121" si="34">SUM(C111:C119)</f>
        <v>3.9628665182627265</v>
      </c>
      <c r="D121" s="282">
        <f t="shared" si="34"/>
        <v>5.2249999999999943</v>
      </c>
      <c r="E121" s="282"/>
      <c r="F121" s="282">
        <f t="shared" ref="F121:H121" si="35">SUM(F111:F119)</f>
        <v>0.59273693802458804</v>
      </c>
      <c r="G121" s="282">
        <f t="shared" si="35"/>
        <v>1.3782630619754099</v>
      </c>
      <c r="H121" s="282">
        <f t="shared" si="35"/>
        <v>1.9709999999999981</v>
      </c>
      <c r="I121" s="282"/>
      <c r="J121" s="282">
        <f t="shared" ref="J121:L121" si="36">SUM(J111:J119)</f>
        <v>0.5627502074720806</v>
      </c>
      <c r="K121" s="282">
        <f t="shared" si="36"/>
        <v>1.2552497925279225</v>
      </c>
      <c r="L121" s="282">
        <f t="shared" si="36"/>
        <v>1.8180000000000032</v>
      </c>
      <c r="M121" s="212"/>
      <c r="N121" s="212"/>
    </row>
    <row r="122" spans="1:14">
      <c r="A122" s="213"/>
      <c r="B122" s="213"/>
      <c r="C122" s="213"/>
      <c r="D122" s="213"/>
      <c r="E122" s="213"/>
      <c r="F122" s="213"/>
      <c r="G122" s="213"/>
      <c r="H122" s="213"/>
      <c r="I122" s="213"/>
      <c r="J122" s="213"/>
      <c r="K122" s="213"/>
      <c r="L122" s="216"/>
      <c r="M122" s="212"/>
      <c r="N122" s="212"/>
    </row>
    <row r="123" spans="1:14">
      <c r="A123" s="213"/>
      <c r="B123" s="213"/>
      <c r="C123" s="213"/>
      <c r="D123" s="213"/>
      <c r="E123" s="213"/>
      <c r="F123" s="213"/>
      <c r="G123" s="213"/>
      <c r="H123" s="213"/>
      <c r="I123" s="213"/>
      <c r="J123" s="213"/>
      <c r="K123" s="213"/>
      <c r="L123" s="232" t="s">
        <v>112</v>
      </c>
      <c r="M123" s="212"/>
      <c r="N123" s="212"/>
    </row>
    <row r="124" spans="1:14">
      <c r="A124" s="218"/>
      <c r="B124" s="226"/>
      <c r="C124" s="226"/>
      <c r="D124" s="226"/>
      <c r="E124" s="226"/>
      <c r="F124" s="226"/>
      <c r="G124" s="226"/>
      <c r="H124" s="226"/>
      <c r="I124" s="226"/>
      <c r="J124" s="226"/>
      <c r="K124" s="226"/>
      <c r="L124" s="212"/>
      <c r="M124" s="212"/>
      <c r="N124" s="212"/>
    </row>
    <row r="125" spans="1:14">
      <c r="A125" s="217" t="str">
        <f>name!B10</f>
        <v>Water and sewerage</v>
      </c>
      <c r="B125" s="347">
        <f>B$6</f>
        <v>2015</v>
      </c>
      <c r="C125" s="347"/>
      <c r="D125" s="347"/>
      <c r="E125" s="229"/>
      <c r="F125" s="347">
        <f>F108</f>
        <v>2020</v>
      </c>
      <c r="G125" s="347"/>
      <c r="H125" s="347"/>
      <c r="I125" s="229"/>
      <c r="J125" s="347">
        <f>J108</f>
        <v>2035</v>
      </c>
      <c r="K125" s="347"/>
      <c r="L125" s="347"/>
      <c r="M125" s="212"/>
      <c r="N125" s="212"/>
    </row>
    <row r="126" spans="1:14">
      <c r="A126" s="230"/>
      <c r="B126" s="231" t="s">
        <v>154</v>
      </c>
      <c r="C126" s="231" t="s">
        <v>155</v>
      </c>
      <c r="D126" s="231" t="s">
        <v>117</v>
      </c>
      <c r="E126" s="231"/>
      <c r="F126" s="231" t="s">
        <v>154</v>
      </c>
      <c r="G126" s="231" t="s">
        <v>155</v>
      </c>
      <c r="H126" s="231" t="s">
        <v>117</v>
      </c>
      <c r="I126" s="231"/>
      <c r="J126" s="231" t="s">
        <v>154</v>
      </c>
      <c r="K126" s="231" t="s">
        <v>155</v>
      </c>
      <c r="L126" s="231" t="s">
        <v>117</v>
      </c>
      <c r="M126" s="212"/>
      <c r="N126" s="212"/>
    </row>
    <row r="127" spans="1:14">
      <c r="A127" s="234"/>
      <c r="B127" s="235"/>
      <c r="C127" s="235"/>
      <c r="D127" s="235"/>
      <c r="E127" s="235"/>
      <c r="F127" s="235"/>
      <c r="G127" s="235"/>
      <c r="H127" s="235"/>
      <c r="I127" s="235"/>
      <c r="J127" s="235"/>
      <c r="K127" s="235"/>
      <c r="L127" s="235"/>
      <c r="M127" s="212"/>
      <c r="N127" s="212"/>
    </row>
    <row r="128" spans="1:14">
      <c r="A128" s="213" t="str">
        <f>name!E$4</f>
        <v>Managers, directors and senior officials</v>
      </c>
      <c r="B128" s="278">
        <v>7.5992798306243031E-2</v>
      </c>
      <c r="C128" s="278">
        <v>0.33049482537591074</v>
      </c>
      <c r="D128" s="278">
        <f>SUM(B128:C128)</f>
        <v>0.40648762368215374</v>
      </c>
      <c r="E128" s="279"/>
      <c r="F128" s="278">
        <v>7.2816035078100722E-2</v>
      </c>
      <c r="G128" s="278">
        <v>0.29569197683178233</v>
      </c>
      <c r="H128" s="278">
        <f>SUM(F128:G128)</f>
        <v>0.36850801190988303</v>
      </c>
      <c r="I128" s="279"/>
      <c r="J128" s="278">
        <v>7.7416336344033748E-2</v>
      </c>
      <c r="K128" s="278">
        <v>0.2962903642964636</v>
      </c>
      <c r="L128" s="278">
        <f>SUM(J128:K128)</f>
        <v>0.37370670064049738</v>
      </c>
      <c r="M128" s="212"/>
      <c r="N128" s="212"/>
    </row>
    <row r="129" spans="1:14">
      <c r="A129" s="213" t="str">
        <f>name!E$5</f>
        <v>Professional occupations</v>
      </c>
      <c r="B129" s="278">
        <v>0.10745462472711634</v>
      </c>
      <c r="C129" s="278">
        <v>0.31394024531053721</v>
      </c>
      <c r="D129" s="278">
        <f t="shared" ref="D129:D136" si="37">SUM(B129:C129)</f>
        <v>0.42139487003765352</v>
      </c>
      <c r="E129" s="279"/>
      <c r="F129" s="278">
        <v>0.12540995719176826</v>
      </c>
      <c r="G129" s="278">
        <v>0.29093735078365718</v>
      </c>
      <c r="H129" s="278">
        <f t="shared" ref="H129:H136" si="38">SUM(F129:G129)</f>
        <v>0.41634730797542541</v>
      </c>
      <c r="I129" s="279"/>
      <c r="J129" s="278">
        <v>0.16658809039575337</v>
      </c>
      <c r="K129" s="278">
        <v>0.34224314726755634</v>
      </c>
      <c r="L129" s="278">
        <f t="shared" ref="L129:L136" si="39">SUM(J129:K129)</f>
        <v>0.50883123766330973</v>
      </c>
      <c r="M129" s="212"/>
      <c r="N129" s="212"/>
    </row>
    <row r="130" spans="1:14">
      <c r="A130" s="213" t="str">
        <f>name!E$6</f>
        <v>Associate professional occupations</v>
      </c>
      <c r="B130" s="278">
        <v>0.24612503086088944</v>
      </c>
      <c r="C130" s="278">
        <v>0.32217369834489112</v>
      </c>
      <c r="D130" s="278">
        <f t="shared" si="37"/>
        <v>0.56829872920578062</v>
      </c>
      <c r="E130" s="279"/>
      <c r="F130" s="278">
        <v>0.29970683662622088</v>
      </c>
      <c r="G130" s="278">
        <v>0.297556001555281</v>
      </c>
      <c r="H130" s="278">
        <f t="shared" si="38"/>
        <v>0.59726283818150194</v>
      </c>
      <c r="I130" s="279"/>
      <c r="J130" s="278">
        <v>0.37901945309654589</v>
      </c>
      <c r="K130" s="278">
        <v>0.2705956404066957</v>
      </c>
      <c r="L130" s="278">
        <f t="shared" si="39"/>
        <v>0.64961509350324165</v>
      </c>
      <c r="M130" s="212"/>
      <c r="N130" s="212"/>
    </row>
    <row r="131" spans="1:14">
      <c r="A131" s="213" t="str">
        <f>name!E$7</f>
        <v>Administrative and secretarial occupations</v>
      </c>
      <c r="B131" s="278">
        <v>0.25520834944383869</v>
      </c>
      <c r="C131" s="278">
        <v>0.12138156962175931</v>
      </c>
      <c r="D131" s="278">
        <f t="shared" si="37"/>
        <v>0.37658991906559802</v>
      </c>
      <c r="E131" s="279"/>
      <c r="F131" s="278">
        <v>0.2653374506927994</v>
      </c>
      <c r="G131" s="278">
        <v>0.21095325829178097</v>
      </c>
      <c r="H131" s="278">
        <f t="shared" si="38"/>
        <v>0.47629070898458037</v>
      </c>
      <c r="I131" s="279"/>
      <c r="J131" s="278">
        <v>0.23999749855462915</v>
      </c>
      <c r="K131" s="278">
        <v>0.24426732798519393</v>
      </c>
      <c r="L131" s="278">
        <f t="shared" si="39"/>
        <v>0.48426482653982306</v>
      </c>
      <c r="M131" s="212"/>
      <c r="N131" s="212"/>
    </row>
    <row r="132" spans="1:14">
      <c r="A132" s="213" t="str">
        <f>name!E$8</f>
        <v>Skilled trades occupations</v>
      </c>
      <c r="B132" s="278">
        <v>3.8310008461580294E-2</v>
      </c>
      <c r="C132" s="278">
        <v>0.46214831332290662</v>
      </c>
      <c r="D132" s="278">
        <f t="shared" si="37"/>
        <v>0.5004583217844869</v>
      </c>
      <c r="E132" s="279"/>
      <c r="F132" s="278">
        <v>1.5798465872219707E-2</v>
      </c>
      <c r="G132" s="278">
        <v>0.36041063207271512</v>
      </c>
      <c r="H132" s="278">
        <f t="shared" si="38"/>
        <v>0.37620909794493484</v>
      </c>
      <c r="I132" s="279"/>
      <c r="J132" s="278">
        <v>2.1751031007961857E-2</v>
      </c>
      <c r="K132" s="278">
        <v>0.387688186441977</v>
      </c>
      <c r="L132" s="278">
        <f t="shared" si="39"/>
        <v>0.40943921744993883</v>
      </c>
      <c r="M132" s="212"/>
      <c r="N132" s="212"/>
    </row>
    <row r="133" spans="1:14">
      <c r="A133" s="213" t="str">
        <f>name!E$9</f>
        <v>Caring, leisure and other service occupations</v>
      </c>
      <c r="B133" s="278">
        <v>6.9894116478102258E-2</v>
      </c>
      <c r="C133" s="278">
        <v>3.7942558492439368E-2</v>
      </c>
      <c r="D133" s="278">
        <f t="shared" si="37"/>
        <v>0.10783667497054163</v>
      </c>
      <c r="E133" s="279"/>
      <c r="F133" s="278">
        <v>6.1847512534965371E-2</v>
      </c>
      <c r="G133" s="278">
        <v>3.4457328616763712E-2</v>
      </c>
      <c r="H133" s="278">
        <f t="shared" si="38"/>
        <v>9.6304841151729076E-2</v>
      </c>
      <c r="I133" s="279"/>
      <c r="J133" s="278">
        <v>8.3399503192883945E-2</v>
      </c>
      <c r="K133" s="278">
        <v>3.0858786693566516E-2</v>
      </c>
      <c r="L133" s="278">
        <f t="shared" si="39"/>
        <v>0.11425828988645045</v>
      </c>
      <c r="M133" s="212"/>
      <c r="N133" s="212"/>
    </row>
    <row r="134" spans="1:14">
      <c r="A134" s="213" t="str">
        <f>name!E$10</f>
        <v>Sales and customer service occupations</v>
      </c>
      <c r="B134" s="278">
        <v>6.2990304084719895E-2</v>
      </c>
      <c r="C134" s="278">
        <v>8.6981108653709102E-2</v>
      </c>
      <c r="D134" s="278">
        <f>SUM(B134:C134)</f>
        <v>0.14997141273842901</v>
      </c>
      <c r="E134" s="279"/>
      <c r="F134" s="278">
        <v>5.5614228932059764E-2</v>
      </c>
      <c r="G134" s="278">
        <v>0.14726181185631237</v>
      </c>
      <c r="H134" s="278">
        <f t="shared" si="38"/>
        <v>0.20287604078837213</v>
      </c>
      <c r="I134" s="279"/>
      <c r="J134" s="278">
        <v>5.7865358301388552E-2</v>
      </c>
      <c r="K134" s="278">
        <v>0.13682305035457049</v>
      </c>
      <c r="L134" s="278">
        <f t="shared" si="39"/>
        <v>0.19468840865595904</v>
      </c>
      <c r="M134" s="212"/>
      <c r="N134" s="212"/>
    </row>
    <row r="135" spans="1:14">
      <c r="A135" s="213" t="str">
        <f>name!E$11</f>
        <v>Process, plant and machine operatives</v>
      </c>
      <c r="B135" s="278">
        <v>3.1143525550409178E-2</v>
      </c>
      <c r="C135" s="278">
        <v>0.98803133315649916</v>
      </c>
      <c r="D135" s="278">
        <f t="shared" si="37"/>
        <v>1.0191748587069083</v>
      </c>
      <c r="E135" s="279"/>
      <c r="F135" s="278">
        <v>2.0304425644411664E-2</v>
      </c>
      <c r="G135" s="278">
        <v>0.73176642999614527</v>
      </c>
      <c r="H135" s="278">
        <f t="shared" si="38"/>
        <v>0.75207085564055698</v>
      </c>
      <c r="I135" s="279"/>
      <c r="J135" s="278">
        <v>1.817299087271821E-2</v>
      </c>
      <c r="K135" s="278">
        <v>0.79097592569733066</v>
      </c>
      <c r="L135" s="278">
        <f t="shared" si="39"/>
        <v>0.80914891657004884</v>
      </c>
      <c r="M135" s="212"/>
      <c r="N135" s="212"/>
    </row>
    <row r="136" spans="1:14">
      <c r="A136" s="213" t="str">
        <f>name!E$12</f>
        <v>Elementary occupations</v>
      </c>
      <c r="B136" s="278">
        <v>0.11046645849549604</v>
      </c>
      <c r="C136" s="278">
        <v>0.67132113131293769</v>
      </c>
      <c r="D136" s="278">
        <f t="shared" si="37"/>
        <v>0.78178758980843377</v>
      </c>
      <c r="E136" s="279"/>
      <c r="F136" s="278">
        <v>9.5788820851416254E-2</v>
      </c>
      <c r="G136" s="278">
        <v>0.42134147657159687</v>
      </c>
      <c r="H136" s="278">
        <f t="shared" si="38"/>
        <v>0.51713029742301309</v>
      </c>
      <c r="I136" s="279"/>
      <c r="J136" s="278">
        <v>0.11326845956644715</v>
      </c>
      <c r="K136" s="278">
        <v>0.39077884952427699</v>
      </c>
      <c r="L136" s="278">
        <f t="shared" si="39"/>
        <v>0.50404730909072415</v>
      </c>
      <c r="M136" s="212"/>
      <c r="N136" s="212"/>
    </row>
    <row r="137" spans="1:14">
      <c r="A137" s="213"/>
      <c r="B137" s="278"/>
      <c r="C137" s="278"/>
      <c r="D137" s="278"/>
      <c r="E137" s="279"/>
      <c r="F137" s="278"/>
      <c r="G137" s="278"/>
      <c r="H137" s="278"/>
      <c r="I137" s="279"/>
      <c r="J137" s="278"/>
      <c r="K137" s="278"/>
      <c r="L137" s="278"/>
      <c r="M137" s="212"/>
      <c r="N137" s="212"/>
    </row>
    <row r="138" spans="1:14">
      <c r="A138" s="220" t="s">
        <v>117</v>
      </c>
      <c r="B138" s="282">
        <f>SUM(B128:B136)</f>
        <v>0.99758521640839537</v>
      </c>
      <c r="C138" s="282">
        <f t="shared" ref="C138" si="40">SUM(C128:C136)</f>
        <v>3.33441478359159</v>
      </c>
      <c r="D138" s="282">
        <f>SUM(D128:D136)</f>
        <v>4.3319999999999856</v>
      </c>
      <c r="E138" s="282"/>
      <c r="F138" s="282">
        <f t="shared" ref="F138:H138" si="41">SUM(F128:F136)</f>
        <v>1.0126237334239621</v>
      </c>
      <c r="G138" s="282">
        <f t="shared" si="41"/>
        <v>2.7903762665760348</v>
      </c>
      <c r="H138" s="282">
        <f t="shared" si="41"/>
        <v>3.8029999999999968</v>
      </c>
      <c r="I138" s="282"/>
      <c r="J138" s="282">
        <f t="shared" ref="J138:L138" si="42">SUM(J128:J136)</f>
        <v>1.1574787213323616</v>
      </c>
      <c r="K138" s="282">
        <f t="shared" si="42"/>
        <v>2.8905212786676309</v>
      </c>
      <c r="L138" s="282">
        <f t="shared" si="42"/>
        <v>4.0479999999999929</v>
      </c>
      <c r="M138" s="212"/>
      <c r="N138" s="212"/>
    </row>
    <row r="139" spans="1:14">
      <c r="A139" s="213"/>
      <c r="B139" s="213"/>
      <c r="C139" s="213"/>
      <c r="D139" s="213"/>
      <c r="E139" s="213"/>
      <c r="F139" s="213"/>
      <c r="G139" s="213"/>
      <c r="H139" s="213"/>
      <c r="I139" s="213"/>
      <c r="J139" s="213"/>
      <c r="K139" s="213"/>
      <c r="L139" s="216"/>
      <c r="M139" s="212"/>
      <c r="N139" s="212"/>
    </row>
    <row r="140" spans="1:14">
      <c r="A140" s="213"/>
      <c r="B140" s="213"/>
      <c r="C140" s="213"/>
      <c r="D140" s="213"/>
      <c r="E140" s="213"/>
      <c r="F140" s="213"/>
      <c r="G140" s="213"/>
      <c r="H140" s="213"/>
      <c r="I140" s="213"/>
      <c r="J140" s="213"/>
      <c r="K140" s="213"/>
      <c r="L140" s="232" t="s">
        <v>112</v>
      </c>
      <c r="M140" s="212"/>
      <c r="N140" s="212"/>
    </row>
    <row r="141" spans="1:14">
      <c r="A141" s="218"/>
      <c r="B141" s="226"/>
      <c r="C141" s="226"/>
      <c r="D141" s="226"/>
      <c r="E141" s="226"/>
      <c r="F141" s="226"/>
      <c r="G141" s="226"/>
      <c r="H141" s="226"/>
      <c r="I141" s="226"/>
      <c r="J141" s="226"/>
      <c r="K141" s="226"/>
      <c r="L141" s="212"/>
      <c r="M141" s="212"/>
      <c r="N141" s="212"/>
    </row>
    <row r="142" spans="1:14">
      <c r="A142" s="217" t="str">
        <f>name!B11</f>
        <v>Construction</v>
      </c>
      <c r="B142" s="347">
        <f>B$6</f>
        <v>2015</v>
      </c>
      <c r="C142" s="347"/>
      <c r="D142" s="347"/>
      <c r="E142" s="229"/>
      <c r="F142" s="347">
        <f>F125</f>
        <v>2020</v>
      </c>
      <c r="G142" s="347"/>
      <c r="H142" s="347"/>
      <c r="I142" s="229"/>
      <c r="J142" s="347">
        <f>J125</f>
        <v>2035</v>
      </c>
      <c r="K142" s="347"/>
      <c r="L142" s="347"/>
      <c r="M142" s="212"/>
      <c r="N142" s="212"/>
    </row>
    <row r="143" spans="1:14">
      <c r="A143" s="230"/>
      <c r="B143" s="231" t="s">
        <v>154</v>
      </c>
      <c r="C143" s="231" t="s">
        <v>155</v>
      </c>
      <c r="D143" s="231" t="s">
        <v>117</v>
      </c>
      <c r="E143" s="231"/>
      <c r="F143" s="231" t="s">
        <v>154</v>
      </c>
      <c r="G143" s="231" t="s">
        <v>155</v>
      </c>
      <c r="H143" s="231" t="s">
        <v>117</v>
      </c>
      <c r="I143" s="231"/>
      <c r="J143" s="231" t="s">
        <v>154</v>
      </c>
      <c r="K143" s="231" t="s">
        <v>155</v>
      </c>
      <c r="L143" s="231" t="s">
        <v>117</v>
      </c>
      <c r="M143" s="212"/>
      <c r="N143" s="212"/>
    </row>
    <row r="144" spans="1:14">
      <c r="A144" s="234"/>
      <c r="B144" s="235"/>
      <c r="C144" s="235"/>
      <c r="D144" s="235"/>
      <c r="E144" s="235"/>
      <c r="F144" s="235"/>
      <c r="G144" s="235"/>
      <c r="H144" s="235"/>
      <c r="I144" s="235"/>
      <c r="J144" s="235"/>
      <c r="K144" s="235"/>
      <c r="L144" s="235"/>
      <c r="M144" s="212"/>
      <c r="N144" s="212"/>
    </row>
    <row r="145" spans="1:14">
      <c r="A145" s="213" t="str">
        <f>name!E$4</f>
        <v>Managers, directors and senior officials</v>
      </c>
      <c r="B145" s="278">
        <v>0.63362723249499886</v>
      </c>
      <c r="C145" s="278">
        <v>1.5951414743750958</v>
      </c>
      <c r="D145" s="278">
        <f>SUM(B145:C145)</f>
        <v>2.2287687068700945</v>
      </c>
      <c r="E145" s="279"/>
      <c r="F145" s="278">
        <v>0.83614044751374239</v>
      </c>
      <c r="G145" s="278">
        <v>2.5224546036221027</v>
      </c>
      <c r="H145" s="278">
        <f>SUM(F145:G145)</f>
        <v>3.3585950511358451</v>
      </c>
      <c r="I145" s="279"/>
      <c r="J145" s="278">
        <v>0.96320560713408143</v>
      </c>
      <c r="K145" s="278">
        <v>2.452553314066181</v>
      </c>
      <c r="L145" s="278">
        <f>SUM(J145:K145)</f>
        <v>3.4157589212002626</v>
      </c>
      <c r="M145" s="212"/>
      <c r="N145" s="212"/>
    </row>
    <row r="146" spans="1:14">
      <c r="A146" s="213" t="str">
        <f>name!E$5</f>
        <v>Professional occupations</v>
      </c>
      <c r="B146" s="278">
        <v>0.39689468899763258</v>
      </c>
      <c r="C146" s="278">
        <v>2.7529600746319862</v>
      </c>
      <c r="D146" s="278">
        <f t="shared" ref="D146:D153" si="43">SUM(B146:C146)</f>
        <v>3.1498547636296186</v>
      </c>
      <c r="E146" s="279"/>
      <c r="F146" s="278">
        <v>0.54891157078170594</v>
      </c>
      <c r="G146" s="278">
        <v>3.8329091552827967</v>
      </c>
      <c r="H146" s="278">
        <f t="shared" ref="H146:H153" si="44">SUM(F146:G146)</f>
        <v>4.381820726064503</v>
      </c>
      <c r="I146" s="279"/>
      <c r="J146" s="278">
        <v>0.6952926087574467</v>
      </c>
      <c r="K146" s="278">
        <v>4.7436379529713051</v>
      </c>
      <c r="L146" s="278">
        <f t="shared" ref="L146:L153" si="45">SUM(J146:K146)</f>
        <v>5.4389305617287516</v>
      </c>
      <c r="M146" s="212"/>
      <c r="N146" s="212"/>
    </row>
    <row r="147" spans="1:14">
      <c r="A147" s="213" t="str">
        <f>name!E$6</f>
        <v>Associate professional occupations</v>
      </c>
      <c r="B147" s="278">
        <v>0.52018336268245491</v>
      </c>
      <c r="C147" s="278">
        <v>1.0909470288108984</v>
      </c>
      <c r="D147" s="278">
        <f t="shared" si="43"/>
        <v>1.6111303914933535</v>
      </c>
      <c r="E147" s="279"/>
      <c r="F147" s="278">
        <v>0.61703940059814422</v>
      </c>
      <c r="G147" s="278">
        <v>1.4133701848368214</v>
      </c>
      <c r="H147" s="278">
        <f t="shared" si="44"/>
        <v>2.0304095854349655</v>
      </c>
      <c r="I147" s="279"/>
      <c r="J147" s="278">
        <v>0.75608754240738585</v>
      </c>
      <c r="K147" s="278">
        <v>1.4037140694026993</v>
      </c>
      <c r="L147" s="278">
        <f t="shared" si="45"/>
        <v>2.1598016118100851</v>
      </c>
      <c r="M147" s="212"/>
      <c r="N147" s="212"/>
    </row>
    <row r="148" spans="1:14">
      <c r="A148" s="213" t="str">
        <f>name!E$7</f>
        <v>Administrative and secretarial occupations</v>
      </c>
      <c r="B148" s="278">
        <v>2.3342961824853128</v>
      </c>
      <c r="C148" s="278">
        <v>0.64147630271154032</v>
      </c>
      <c r="D148" s="278">
        <f t="shared" si="43"/>
        <v>2.975772485196853</v>
      </c>
      <c r="E148" s="279"/>
      <c r="F148" s="278">
        <v>2.1958643008231467</v>
      </c>
      <c r="G148" s="278">
        <v>0.70514956807664997</v>
      </c>
      <c r="H148" s="278">
        <f t="shared" si="44"/>
        <v>2.9010138688997964</v>
      </c>
      <c r="I148" s="279"/>
      <c r="J148" s="278">
        <v>1.8370781374304834</v>
      </c>
      <c r="K148" s="278">
        <v>0.85856867230090306</v>
      </c>
      <c r="L148" s="278">
        <f t="shared" si="45"/>
        <v>2.6956468097313864</v>
      </c>
      <c r="M148" s="212"/>
      <c r="N148" s="212"/>
    </row>
    <row r="149" spans="1:14">
      <c r="A149" s="213" t="str">
        <f>name!E$8</f>
        <v>Skilled trades occupations</v>
      </c>
      <c r="B149" s="278">
        <v>0.24322182724940203</v>
      </c>
      <c r="C149" s="278">
        <v>15.894156458105885</v>
      </c>
      <c r="D149" s="278">
        <f t="shared" si="43"/>
        <v>16.137378285355286</v>
      </c>
      <c r="E149" s="279"/>
      <c r="F149" s="278">
        <v>0.28236472779516802</v>
      </c>
      <c r="G149" s="278">
        <v>18.228266713080036</v>
      </c>
      <c r="H149" s="278">
        <f t="shared" si="44"/>
        <v>18.510631440875205</v>
      </c>
      <c r="I149" s="279"/>
      <c r="J149" s="278">
        <v>0.3606150928514994</v>
      </c>
      <c r="K149" s="278">
        <v>16.653338383099946</v>
      </c>
      <c r="L149" s="278">
        <f t="shared" si="45"/>
        <v>17.013953475951446</v>
      </c>
      <c r="M149" s="212"/>
      <c r="N149" s="212"/>
    </row>
    <row r="150" spans="1:14">
      <c r="A150" s="213" t="str">
        <f>name!E$9</f>
        <v>Caring, leisure and other service occupations</v>
      </c>
      <c r="B150" s="278">
        <v>3.9955529461883771E-2</v>
      </c>
      <c r="C150" s="278">
        <v>4.1303290516332802E-2</v>
      </c>
      <c r="D150" s="278">
        <f t="shared" si="43"/>
        <v>8.1258819978216573E-2</v>
      </c>
      <c r="E150" s="279"/>
      <c r="F150" s="278">
        <v>3.7463951512578274E-2</v>
      </c>
      <c r="G150" s="278">
        <v>4.6511974104534989E-2</v>
      </c>
      <c r="H150" s="278">
        <f t="shared" si="44"/>
        <v>8.3975925617113256E-2</v>
      </c>
      <c r="I150" s="279"/>
      <c r="J150" s="278">
        <v>3.7225584588434724E-2</v>
      </c>
      <c r="K150" s="278">
        <v>4.5942115597884491E-2</v>
      </c>
      <c r="L150" s="278">
        <f t="shared" si="45"/>
        <v>8.3167700186319221E-2</v>
      </c>
      <c r="M150" s="212"/>
      <c r="N150" s="212"/>
    </row>
    <row r="151" spans="1:14">
      <c r="A151" s="213" t="str">
        <f>name!E$10</f>
        <v>Sales and customer service occupations</v>
      </c>
      <c r="B151" s="278">
        <v>0.35996597880248815</v>
      </c>
      <c r="C151" s="278">
        <v>0.3110131152354535</v>
      </c>
      <c r="D151" s="278">
        <f t="shared" si="43"/>
        <v>0.67097909403794165</v>
      </c>
      <c r="E151" s="279"/>
      <c r="F151" s="278">
        <v>0.35168400989432769</v>
      </c>
      <c r="G151" s="278">
        <v>0.34603837291540618</v>
      </c>
      <c r="H151" s="278">
        <f t="shared" si="44"/>
        <v>0.69772238280973387</v>
      </c>
      <c r="I151" s="279"/>
      <c r="J151" s="278">
        <v>0.35131749078884833</v>
      </c>
      <c r="K151" s="278">
        <v>0.38388750063693777</v>
      </c>
      <c r="L151" s="278">
        <f t="shared" si="45"/>
        <v>0.7352049914257861</v>
      </c>
      <c r="M151" s="212"/>
      <c r="N151" s="212"/>
    </row>
    <row r="152" spans="1:14">
      <c r="A152" s="213" t="str">
        <f>name!E$11</f>
        <v>Process, plant and machine operatives</v>
      </c>
      <c r="B152" s="278">
        <v>3.7984730699035629E-2</v>
      </c>
      <c r="C152" s="278">
        <v>2.5740138232476233</v>
      </c>
      <c r="D152" s="278">
        <f t="shared" si="43"/>
        <v>2.611998553946659</v>
      </c>
      <c r="E152" s="279"/>
      <c r="F152" s="278">
        <v>3.3267445030169998E-2</v>
      </c>
      <c r="G152" s="278">
        <v>2.7229503990389556</v>
      </c>
      <c r="H152" s="278">
        <f t="shared" si="44"/>
        <v>2.7562178440691256</v>
      </c>
      <c r="I152" s="279"/>
      <c r="J152" s="278">
        <v>4.9021968035502933E-2</v>
      </c>
      <c r="K152" s="278">
        <v>3.0294315752167966</v>
      </c>
      <c r="L152" s="278">
        <f t="shared" si="45"/>
        <v>3.0784535432522997</v>
      </c>
      <c r="M152" s="212"/>
      <c r="N152" s="212"/>
    </row>
    <row r="153" spans="1:14">
      <c r="A153" s="213" t="str">
        <f>name!E$12</f>
        <v>Elementary occupations</v>
      </c>
      <c r="B153" s="278">
        <v>0.44047749466428548</v>
      </c>
      <c r="C153" s="278">
        <v>1.8553814048276649</v>
      </c>
      <c r="D153" s="278">
        <f t="shared" si="43"/>
        <v>2.2958588994919502</v>
      </c>
      <c r="E153" s="279"/>
      <c r="F153" s="278">
        <v>0.30676391665416081</v>
      </c>
      <c r="G153" s="278">
        <v>1.9878492584395171</v>
      </c>
      <c r="H153" s="278">
        <f t="shared" si="44"/>
        <v>2.2946131750936778</v>
      </c>
      <c r="I153" s="279"/>
      <c r="J153" s="278">
        <v>0.36352089822392258</v>
      </c>
      <c r="K153" s="278">
        <v>2.4655614864896851</v>
      </c>
      <c r="L153" s="278">
        <f t="shared" si="45"/>
        <v>2.8290823847136077</v>
      </c>
      <c r="M153" s="212"/>
      <c r="N153" s="212"/>
    </row>
    <row r="154" spans="1:14">
      <c r="A154" s="213"/>
      <c r="B154" s="278"/>
      <c r="C154" s="278"/>
      <c r="D154" s="278"/>
      <c r="E154" s="279"/>
      <c r="F154" s="278"/>
      <c r="G154" s="278"/>
      <c r="H154" s="278"/>
      <c r="I154" s="279"/>
      <c r="J154" s="278"/>
      <c r="K154" s="278"/>
      <c r="L154" s="278"/>
      <c r="M154" s="212"/>
      <c r="N154" s="212"/>
    </row>
    <row r="155" spans="1:14">
      <c r="A155" s="220" t="s">
        <v>117</v>
      </c>
      <c r="B155" s="282">
        <f>SUM(B145:B153)</f>
        <v>5.0066070275374939</v>
      </c>
      <c r="C155" s="282">
        <f t="shared" ref="C155:D155" si="46">SUM(C145:C153)</f>
        <v>26.756392972462478</v>
      </c>
      <c r="D155" s="282">
        <f t="shared" si="46"/>
        <v>31.762999999999973</v>
      </c>
      <c r="E155" s="282"/>
      <c r="F155" s="282">
        <f t="shared" ref="F155:H155" si="47">SUM(F145:F153)</f>
        <v>5.2094997706031441</v>
      </c>
      <c r="G155" s="282">
        <f t="shared" si="47"/>
        <v>31.80550022939682</v>
      </c>
      <c r="H155" s="282">
        <f t="shared" si="47"/>
        <v>37.014999999999965</v>
      </c>
      <c r="I155" s="282"/>
      <c r="J155" s="282">
        <f t="shared" ref="J155:L155" si="48">SUM(J145:J153)</f>
        <v>5.4133649302176048</v>
      </c>
      <c r="K155" s="282">
        <f t="shared" si="48"/>
        <v>32.036635069782342</v>
      </c>
      <c r="L155" s="282">
        <f t="shared" si="48"/>
        <v>37.449999999999946</v>
      </c>
      <c r="M155" s="212"/>
      <c r="N155" s="212"/>
    </row>
    <row r="156" spans="1:14">
      <c r="A156" s="213"/>
      <c r="B156" s="213"/>
      <c r="C156" s="213"/>
      <c r="D156" s="213"/>
      <c r="E156" s="213"/>
      <c r="F156" s="213"/>
      <c r="G156" s="213"/>
      <c r="H156" s="213"/>
      <c r="I156" s="213"/>
      <c r="J156" s="213"/>
      <c r="K156" s="213"/>
      <c r="L156" s="216"/>
      <c r="M156" s="212"/>
      <c r="N156" s="212"/>
    </row>
    <row r="157" spans="1:14">
      <c r="A157" s="213"/>
      <c r="B157" s="213"/>
      <c r="C157" s="213"/>
      <c r="D157" s="213"/>
      <c r="E157" s="213"/>
      <c r="F157" s="213"/>
      <c r="G157" s="213"/>
      <c r="H157" s="213"/>
      <c r="I157" s="213"/>
      <c r="J157" s="213"/>
      <c r="K157" s="213"/>
      <c r="L157" s="232" t="s">
        <v>112</v>
      </c>
      <c r="M157" s="212"/>
      <c r="N157" s="212"/>
    </row>
    <row r="158" spans="1:14">
      <c r="A158" s="218"/>
      <c r="B158" s="226"/>
      <c r="C158" s="226"/>
      <c r="D158" s="226"/>
      <c r="E158" s="226"/>
      <c r="F158" s="226"/>
      <c r="G158" s="226"/>
      <c r="H158" s="226"/>
      <c r="I158" s="226"/>
      <c r="J158" s="226"/>
      <c r="K158" s="226"/>
      <c r="L158" s="212"/>
      <c r="M158" s="212"/>
      <c r="N158" s="212"/>
    </row>
    <row r="159" spans="1:14">
      <c r="A159" s="217" t="str">
        <f>name!B12</f>
        <v>Wholesale and retail trade</v>
      </c>
      <c r="B159" s="347">
        <f>B$6</f>
        <v>2015</v>
      </c>
      <c r="C159" s="347"/>
      <c r="D159" s="347"/>
      <c r="E159" s="229"/>
      <c r="F159" s="347">
        <f>F142</f>
        <v>2020</v>
      </c>
      <c r="G159" s="347"/>
      <c r="H159" s="347"/>
      <c r="I159" s="229"/>
      <c r="J159" s="347">
        <f>J142</f>
        <v>2035</v>
      </c>
      <c r="K159" s="347"/>
      <c r="L159" s="347"/>
      <c r="M159" s="212"/>
      <c r="N159" s="212"/>
    </row>
    <row r="160" spans="1:14">
      <c r="A160" s="230"/>
      <c r="B160" s="231" t="s">
        <v>154</v>
      </c>
      <c r="C160" s="231" t="s">
        <v>155</v>
      </c>
      <c r="D160" s="231" t="s">
        <v>117</v>
      </c>
      <c r="E160" s="231"/>
      <c r="F160" s="231" t="s">
        <v>154</v>
      </c>
      <c r="G160" s="231" t="s">
        <v>155</v>
      </c>
      <c r="H160" s="231" t="s">
        <v>117</v>
      </c>
      <c r="I160" s="231"/>
      <c r="J160" s="231" t="s">
        <v>154</v>
      </c>
      <c r="K160" s="231" t="s">
        <v>155</v>
      </c>
      <c r="L160" s="231" t="s">
        <v>117</v>
      </c>
      <c r="M160" s="212"/>
      <c r="N160" s="212"/>
    </row>
    <row r="161" spans="1:14">
      <c r="A161" s="234"/>
      <c r="B161" s="235"/>
      <c r="C161" s="235"/>
      <c r="D161" s="235"/>
      <c r="E161" s="235"/>
      <c r="F161" s="235"/>
      <c r="G161" s="235"/>
      <c r="H161" s="235"/>
      <c r="I161" s="235"/>
      <c r="J161" s="235"/>
      <c r="K161" s="235"/>
      <c r="L161" s="235"/>
      <c r="M161" s="212"/>
      <c r="N161" s="212"/>
    </row>
    <row r="162" spans="1:14">
      <c r="A162" s="213" t="str">
        <f>name!E$4</f>
        <v>Managers, directors and senior officials</v>
      </c>
      <c r="B162" s="278">
        <v>3.3912623450756172</v>
      </c>
      <c r="C162" s="278">
        <v>8.4269674631249725</v>
      </c>
      <c r="D162" s="278">
        <f>SUM(B162:C162)</f>
        <v>11.81822980820059</v>
      </c>
      <c r="E162" s="279"/>
      <c r="F162" s="278">
        <v>4.6134786828743248</v>
      </c>
      <c r="G162" s="278">
        <v>8.4946078596878305</v>
      </c>
      <c r="H162" s="278">
        <f>SUM(F162:G162)</f>
        <v>13.108086542562155</v>
      </c>
      <c r="I162" s="279"/>
      <c r="J162" s="278">
        <v>5.2239127706856943</v>
      </c>
      <c r="K162" s="278">
        <v>8.6371472514635883</v>
      </c>
      <c r="L162" s="278">
        <f>SUM(J162:K162)</f>
        <v>13.861060022149282</v>
      </c>
      <c r="M162" s="212"/>
      <c r="N162" s="212"/>
    </row>
    <row r="163" spans="1:14">
      <c r="A163" s="213" t="str">
        <f>name!E$5</f>
        <v>Professional occupations</v>
      </c>
      <c r="B163" s="278">
        <v>3.4894660598110061</v>
      </c>
      <c r="C163" s="278">
        <v>4.3813526467794137</v>
      </c>
      <c r="D163" s="278">
        <f t="shared" ref="D163:D170" si="49">SUM(B163:C163)</f>
        <v>7.8708187065904198</v>
      </c>
      <c r="E163" s="279"/>
      <c r="F163" s="278">
        <v>4.4490775001875758</v>
      </c>
      <c r="G163" s="278">
        <v>4.973061697983777</v>
      </c>
      <c r="H163" s="278">
        <f t="shared" ref="H163:H170" si="50">SUM(F163:G163)</f>
        <v>9.4221391981713527</v>
      </c>
      <c r="I163" s="279"/>
      <c r="J163" s="278">
        <v>5.1426532368248976</v>
      </c>
      <c r="K163" s="278">
        <v>6.6342424644928526</v>
      </c>
      <c r="L163" s="278">
        <f t="shared" ref="L163:L170" si="51">SUM(J163:K163)</f>
        <v>11.77689570131775</v>
      </c>
      <c r="M163" s="212"/>
      <c r="N163" s="212"/>
    </row>
    <row r="164" spans="1:14">
      <c r="A164" s="213" t="str">
        <f>name!E$6</f>
        <v>Associate professional occupations</v>
      </c>
      <c r="B164" s="278">
        <v>2.9480321182639271</v>
      </c>
      <c r="C164" s="278">
        <v>4.3115285361560591</v>
      </c>
      <c r="D164" s="278">
        <f t="shared" si="49"/>
        <v>7.2595606544199862</v>
      </c>
      <c r="E164" s="279"/>
      <c r="F164" s="278">
        <v>3.3439976305504695</v>
      </c>
      <c r="G164" s="278">
        <v>4.6158676127864648</v>
      </c>
      <c r="H164" s="278">
        <f t="shared" si="50"/>
        <v>7.9598652433369343</v>
      </c>
      <c r="I164" s="279"/>
      <c r="J164" s="278">
        <v>3.7259374656137485</v>
      </c>
      <c r="K164" s="278">
        <v>4.8456109900151256</v>
      </c>
      <c r="L164" s="278">
        <f t="shared" si="51"/>
        <v>8.571548455628875</v>
      </c>
      <c r="M164" s="212"/>
      <c r="N164" s="212"/>
    </row>
    <row r="165" spans="1:14">
      <c r="A165" s="213" t="str">
        <f>name!E$7</f>
        <v>Administrative and secretarial occupations</v>
      </c>
      <c r="B165" s="278">
        <v>6.3069741940559272</v>
      </c>
      <c r="C165" s="278">
        <v>3.2265151842703781</v>
      </c>
      <c r="D165" s="278">
        <f t="shared" si="49"/>
        <v>9.5334893783263048</v>
      </c>
      <c r="E165" s="279"/>
      <c r="F165" s="278">
        <v>6.0252862479208336</v>
      </c>
      <c r="G165" s="278">
        <v>3.5648417659377234</v>
      </c>
      <c r="H165" s="278">
        <f t="shared" si="50"/>
        <v>9.590128013858557</v>
      </c>
      <c r="I165" s="279"/>
      <c r="J165" s="278">
        <v>5.5265843216603434</v>
      </c>
      <c r="K165" s="278">
        <v>4.6111064916042475</v>
      </c>
      <c r="L165" s="278">
        <f t="shared" si="51"/>
        <v>10.137690813264591</v>
      </c>
      <c r="M165" s="212"/>
      <c r="N165" s="212"/>
    </row>
    <row r="166" spans="1:14">
      <c r="A166" s="213" t="str">
        <f>name!E$8</f>
        <v>Skilled trades occupations</v>
      </c>
      <c r="B166" s="278">
        <v>0.77895530159347204</v>
      </c>
      <c r="C166" s="278">
        <v>8.9600741914264965</v>
      </c>
      <c r="D166" s="278">
        <f t="shared" si="49"/>
        <v>9.7390294930199683</v>
      </c>
      <c r="E166" s="279"/>
      <c r="F166" s="278">
        <v>0.82673912837491581</v>
      </c>
      <c r="G166" s="278">
        <v>6.869270305135549</v>
      </c>
      <c r="H166" s="278">
        <f t="shared" si="50"/>
        <v>7.696009433510465</v>
      </c>
      <c r="I166" s="279"/>
      <c r="J166" s="278">
        <v>0.85249131113051935</v>
      </c>
      <c r="K166" s="278">
        <v>6.6173879673132063</v>
      </c>
      <c r="L166" s="278">
        <f t="shared" si="51"/>
        <v>7.4698792784437256</v>
      </c>
      <c r="M166" s="212"/>
      <c r="N166" s="212"/>
    </row>
    <row r="167" spans="1:14">
      <c r="A167" s="213" t="str">
        <f>name!E$9</f>
        <v>Caring, leisure and other service occupations</v>
      </c>
      <c r="B167" s="278">
        <v>0.5815022053448019</v>
      </c>
      <c r="C167" s="278">
        <v>0.1864960970748766</v>
      </c>
      <c r="D167" s="278">
        <f t="shared" si="49"/>
        <v>0.76799830241967848</v>
      </c>
      <c r="E167" s="279"/>
      <c r="F167" s="278">
        <v>0.60149554734123489</v>
      </c>
      <c r="G167" s="278">
        <v>0.18878031376007692</v>
      </c>
      <c r="H167" s="278">
        <f t="shared" si="50"/>
        <v>0.79027586110131187</v>
      </c>
      <c r="I167" s="279"/>
      <c r="J167" s="278">
        <v>0.77380533906624949</v>
      </c>
      <c r="K167" s="278">
        <v>0.21295043174776157</v>
      </c>
      <c r="L167" s="278">
        <f t="shared" si="51"/>
        <v>0.98675577081401111</v>
      </c>
      <c r="M167" s="212"/>
      <c r="N167" s="212"/>
    </row>
    <row r="168" spans="1:14">
      <c r="A168" s="213" t="str">
        <f>name!E$10</f>
        <v>Sales and customer service occupations</v>
      </c>
      <c r="B168" s="278">
        <v>16.601945527615051</v>
      </c>
      <c r="C168" s="278">
        <v>9.2406176524105739</v>
      </c>
      <c r="D168" s="278">
        <f t="shared" si="49"/>
        <v>25.842563180025625</v>
      </c>
      <c r="E168" s="279"/>
      <c r="F168" s="278">
        <v>14.362233294250709</v>
      </c>
      <c r="G168" s="278">
        <v>9.0403024303790644</v>
      </c>
      <c r="H168" s="278">
        <f t="shared" si="50"/>
        <v>23.402535724629772</v>
      </c>
      <c r="I168" s="279"/>
      <c r="J168" s="278">
        <v>11.648761056128459</v>
      </c>
      <c r="K168" s="278">
        <v>8.8009325916223009</v>
      </c>
      <c r="L168" s="278">
        <f t="shared" si="51"/>
        <v>20.44969364775076</v>
      </c>
      <c r="M168" s="212"/>
      <c r="N168" s="212"/>
    </row>
    <row r="169" spans="1:14">
      <c r="A169" s="213" t="str">
        <f>name!E$11</f>
        <v>Process, plant and machine operatives</v>
      </c>
      <c r="B169" s="278">
        <v>1.7287431667195177</v>
      </c>
      <c r="C169" s="278">
        <v>6.5964833927347373</v>
      </c>
      <c r="D169" s="278">
        <f t="shared" si="49"/>
        <v>8.3252265594542543</v>
      </c>
      <c r="E169" s="279"/>
      <c r="F169" s="278">
        <v>1.4617252488647039</v>
      </c>
      <c r="G169" s="278">
        <v>5.2749609537620001</v>
      </c>
      <c r="H169" s="278">
        <f t="shared" si="50"/>
        <v>6.7366862026267036</v>
      </c>
      <c r="I169" s="279"/>
      <c r="J169" s="278">
        <v>2.0483283409653557</v>
      </c>
      <c r="K169" s="278">
        <v>4.5853229606429853</v>
      </c>
      <c r="L169" s="278">
        <f t="shared" si="51"/>
        <v>6.6336513016083405</v>
      </c>
      <c r="M169" s="212"/>
      <c r="N169" s="212"/>
    </row>
    <row r="170" spans="1:14">
      <c r="A170" s="213" t="str">
        <f>name!E$12</f>
        <v>Elementary occupations</v>
      </c>
      <c r="B170" s="278">
        <v>4.5251552708886411</v>
      </c>
      <c r="C170" s="278">
        <v>6.3839286466545566</v>
      </c>
      <c r="D170" s="278">
        <f t="shared" si="49"/>
        <v>10.909083917543198</v>
      </c>
      <c r="E170" s="279"/>
      <c r="F170" s="278">
        <v>3.5072792903655321</v>
      </c>
      <c r="G170" s="278">
        <v>4.8609944898373278</v>
      </c>
      <c r="H170" s="278">
        <f t="shared" si="50"/>
        <v>8.3682737802028591</v>
      </c>
      <c r="I170" s="279"/>
      <c r="J170" s="278">
        <v>4.6523915626577885</v>
      </c>
      <c r="K170" s="278">
        <v>4.303433446364739</v>
      </c>
      <c r="L170" s="278">
        <f t="shared" si="51"/>
        <v>8.9558250090225275</v>
      </c>
      <c r="M170" s="212"/>
      <c r="N170" s="212"/>
    </row>
    <row r="171" spans="1:14">
      <c r="A171" s="213"/>
      <c r="B171" s="278"/>
      <c r="C171" s="278"/>
      <c r="D171" s="278"/>
      <c r="E171" s="279"/>
      <c r="F171" s="278"/>
      <c r="G171" s="278"/>
      <c r="H171" s="278"/>
      <c r="I171" s="279"/>
      <c r="J171" s="278"/>
      <c r="K171" s="278"/>
      <c r="L171" s="278"/>
      <c r="M171" s="212"/>
      <c r="N171" s="212"/>
    </row>
    <row r="172" spans="1:14">
      <c r="A172" s="220" t="s">
        <v>117</v>
      </c>
      <c r="B172" s="282">
        <f>SUM(B162:B170)</f>
        <v>40.352036189367958</v>
      </c>
      <c r="C172" s="282">
        <f t="shared" ref="C172:D172" si="52">SUM(C162:C170)</f>
        <v>51.713963810632066</v>
      </c>
      <c r="D172" s="282">
        <f t="shared" si="52"/>
        <v>92.066000000000031</v>
      </c>
      <c r="E172" s="282"/>
      <c r="F172" s="282">
        <f t="shared" ref="F172:H172" si="53">SUM(F162:F170)</f>
        <v>39.19131257073029</v>
      </c>
      <c r="G172" s="282">
        <f t="shared" si="53"/>
        <v>47.882687429269808</v>
      </c>
      <c r="H172" s="282">
        <f t="shared" si="53"/>
        <v>87.074000000000112</v>
      </c>
      <c r="I172" s="282"/>
      <c r="J172" s="282">
        <f t="shared" ref="J172:L172" si="54">SUM(J162:J170)</f>
        <v>39.594865404733056</v>
      </c>
      <c r="K172" s="282">
        <f t="shared" si="54"/>
        <v>49.248134595266805</v>
      </c>
      <c r="L172" s="282">
        <f t="shared" si="54"/>
        <v>88.842999999999861</v>
      </c>
      <c r="M172" s="212"/>
      <c r="N172" s="212"/>
    </row>
    <row r="173" spans="1:14">
      <c r="A173" s="213"/>
      <c r="B173" s="213"/>
      <c r="C173" s="213"/>
      <c r="D173" s="213"/>
      <c r="E173" s="213"/>
      <c r="F173" s="213"/>
      <c r="G173" s="213"/>
      <c r="H173" s="213"/>
      <c r="I173" s="213"/>
      <c r="J173" s="213"/>
      <c r="K173" s="213"/>
      <c r="L173" s="216"/>
      <c r="M173" s="212"/>
      <c r="N173" s="212"/>
    </row>
    <row r="174" spans="1:14">
      <c r="A174" s="213"/>
      <c r="B174" s="213"/>
      <c r="C174" s="213"/>
      <c r="D174" s="213"/>
      <c r="E174" s="213"/>
      <c r="F174" s="213"/>
      <c r="G174" s="213"/>
      <c r="H174" s="213"/>
      <c r="I174" s="213"/>
      <c r="J174" s="213"/>
      <c r="K174" s="213"/>
      <c r="L174" s="232" t="s">
        <v>112</v>
      </c>
      <c r="M174" s="212"/>
      <c r="N174" s="212"/>
    </row>
    <row r="175" spans="1:14">
      <c r="A175" s="218"/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12"/>
      <c r="M175" s="212"/>
      <c r="N175" s="212"/>
    </row>
    <row r="176" spans="1:14">
      <c r="A176" s="217" t="str">
        <f>name!B13</f>
        <v>Transport and storage</v>
      </c>
      <c r="B176" s="347">
        <f>B$6</f>
        <v>2015</v>
      </c>
      <c r="C176" s="347"/>
      <c r="D176" s="347"/>
      <c r="E176" s="229"/>
      <c r="F176" s="347">
        <f>F159</f>
        <v>2020</v>
      </c>
      <c r="G176" s="347"/>
      <c r="H176" s="347"/>
      <c r="I176" s="229"/>
      <c r="J176" s="347">
        <f>J159</f>
        <v>2035</v>
      </c>
      <c r="K176" s="347"/>
      <c r="L176" s="347"/>
      <c r="M176" s="212"/>
      <c r="N176" s="212"/>
    </row>
    <row r="177" spans="1:14">
      <c r="A177" s="230"/>
      <c r="B177" s="231" t="s">
        <v>154</v>
      </c>
      <c r="C177" s="231" t="s">
        <v>155</v>
      </c>
      <c r="D177" s="231" t="s">
        <v>117</v>
      </c>
      <c r="E177" s="231"/>
      <c r="F177" s="231" t="s">
        <v>154</v>
      </c>
      <c r="G177" s="231" t="s">
        <v>155</v>
      </c>
      <c r="H177" s="231" t="s">
        <v>117</v>
      </c>
      <c r="I177" s="231"/>
      <c r="J177" s="231" t="s">
        <v>154</v>
      </c>
      <c r="K177" s="231" t="s">
        <v>155</v>
      </c>
      <c r="L177" s="231" t="s">
        <v>117</v>
      </c>
      <c r="M177" s="212"/>
      <c r="N177" s="212"/>
    </row>
    <row r="178" spans="1:14">
      <c r="A178" s="234"/>
      <c r="B178" s="235"/>
      <c r="C178" s="235"/>
      <c r="D178" s="235"/>
      <c r="E178" s="235"/>
      <c r="F178" s="235"/>
      <c r="G178" s="235"/>
      <c r="H178" s="235"/>
      <c r="I178" s="235"/>
      <c r="J178" s="235"/>
      <c r="K178" s="235"/>
      <c r="L178" s="235"/>
      <c r="M178" s="212"/>
      <c r="N178" s="212"/>
    </row>
    <row r="179" spans="1:14">
      <c r="A179" s="213" t="str">
        <f>name!E$4</f>
        <v>Managers, directors and senior officials</v>
      </c>
      <c r="B179" s="278">
        <v>0.4765350692501692</v>
      </c>
      <c r="C179" s="278">
        <v>2.0198907311733363</v>
      </c>
      <c r="D179" s="278">
        <f>SUM(B179:C179)</f>
        <v>2.4964258004235056</v>
      </c>
      <c r="E179" s="279"/>
      <c r="F179" s="278">
        <v>0.64458766790928523</v>
      </c>
      <c r="G179" s="278">
        <v>2.3880710068016113</v>
      </c>
      <c r="H179" s="278">
        <f>SUM(F179:G179)</f>
        <v>3.0326586747108966</v>
      </c>
      <c r="I179" s="279"/>
      <c r="J179" s="278">
        <v>0.84443707735957085</v>
      </c>
      <c r="K179" s="278">
        <v>2.6054205645544708</v>
      </c>
      <c r="L179" s="278">
        <f>SUM(J179:K179)</f>
        <v>3.4498576419140417</v>
      </c>
      <c r="M179" s="212"/>
      <c r="N179" s="212"/>
    </row>
    <row r="180" spans="1:14">
      <c r="A180" s="213" t="str">
        <f>name!E$5</f>
        <v>Professional occupations</v>
      </c>
      <c r="B180" s="278">
        <v>0.40099412478914992</v>
      </c>
      <c r="C180" s="278">
        <v>1.2512478977305428</v>
      </c>
      <c r="D180" s="278">
        <f t="shared" ref="D180:D187" si="55">SUM(B180:C180)</f>
        <v>1.6522420225196928</v>
      </c>
      <c r="E180" s="279"/>
      <c r="F180" s="278">
        <v>0.59745207180545257</v>
      </c>
      <c r="G180" s="278">
        <v>1.6204284207993533</v>
      </c>
      <c r="H180" s="278">
        <f t="shared" ref="H180:H187" si="56">SUM(F180:G180)</f>
        <v>2.2178804926048059</v>
      </c>
      <c r="I180" s="279"/>
      <c r="J180" s="278">
        <v>0.82544361845480052</v>
      </c>
      <c r="K180" s="278">
        <v>2.3286677507057409</v>
      </c>
      <c r="L180" s="278">
        <f t="shared" ref="L180:L187" si="57">SUM(J180:K180)</f>
        <v>3.1541113691605416</v>
      </c>
      <c r="M180" s="212"/>
      <c r="N180" s="212"/>
    </row>
    <row r="181" spans="1:14">
      <c r="A181" s="213" t="str">
        <f>name!E$6</f>
        <v>Associate professional occupations</v>
      </c>
      <c r="B181" s="278">
        <v>0.44761765320786706</v>
      </c>
      <c r="C181" s="278">
        <v>1.1914668441208596</v>
      </c>
      <c r="D181" s="278">
        <f t="shared" si="55"/>
        <v>1.6390844973287266</v>
      </c>
      <c r="E181" s="279"/>
      <c r="F181" s="278">
        <v>0.56106833990174132</v>
      </c>
      <c r="G181" s="278">
        <v>1.3910316086192247</v>
      </c>
      <c r="H181" s="278">
        <f t="shared" si="56"/>
        <v>1.952099948520966</v>
      </c>
      <c r="I181" s="279"/>
      <c r="J181" s="278">
        <v>0.72137122371019013</v>
      </c>
      <c r="K181" s="278">
        <v>1.4812903224865259</v>
      </c>
      <c r="L181" s="278">
        <f t="shared" si="57"/>
        <v>2.2026615461967163</v>
      </c>
      <c r="M181" s="212"/>
      <c r="N181" s="212"/>
    </row>
    <row r="182" spans="1:14">
      <c r="A182" s="213" t="str">
        <f>name!E$7</f>
        <v>Administrative and secretarial occupations</v>
      </c>
      <c r="B182" s="278">
        <v>2.1992030852978313</v>
      </c>
      <c r="C182" s="278">
        <v>1.2475720508432315</v>
      </c>
      <c r="D182" s="278">
        <f t="shared" si="55"/>
        <v>3.4467751361410626</v>
      </c>
      <c r="E182" s="279"/>
      <c r="F182" s="278">
        <v>2.1607583870958935</v>
      </c>
      <c r="G182" s="278">
        <v>1.5307840378230715</v>
      </c>
      <c r="H182" s="278">
        <f t="shared" si="56"/>
        <v>3.691542424918965</v>
      </c>
      <c r="I182" s="279"/>
      <c r="J182" s="278">
        <v>2.4053462161244341</v>
      </c>
      <c r="K182" s="278">
        <v>2.0753914928762676</v>
      </c>
      <c r="L182" s="278">
        <f t="shared" si="57"/>
        <v>4.4807377090007012</v>
      </c>
      <c r="M182" s="212"/>
      <c r="N182" s="212"/>
    </row>
    <row r="183" spans="1:14">
      <c r="A183" s="213" t="str">
        <f>name!E$8</f>
        <v>Skilled trades occupations</v>
      </c>
      <c r="B183" s="278">
        <v>4.7985360469271369E-2</v>
      </c>
      <c r="C183" s="278">
        <v>2.006368797508908</v>
      </c>
      <c r="D183" s="278">
        <f t="shared" si="55"/>
        <v>2.0543541579781794</v>
      </c>
      <c r="E183" s="279"/>
      <c r="F183" s="278">
        <v>5.5397482014347417E-2</v>
      </c>
      <c r="G183" s="278">
        <v>1.3896294515068561</v>
      </c>
      <c r="H183" s="278">
        <f t="shared" si="56"/>
        <v>1.4450269335212036</v>
      </c>
      <c r="I183" s="279"/>
      <c r="J183" s="278">
        <v>7.6725155023734185E-2</v>
      </c>
      <c r="K183" s="278">
        <v>1.3395896856423581</v>
      </c>
      <c r="L183" s="278">
        <f t="shared" si="57"/>
        <v>1.4163148406660924</v>
      </c>
      <c r="M183" s="212"/>
      <c r="N183" s="212"/>
    </row>
    <row r="184" spans="1:14">
      <c r="A184" s="213" t="str">
        <f>name!E$9</f>
        <v>Caring, leisure and other service occupations</v>
      </c>
      <c r="B184" s="278">
        <v>0.8109661397107516</v>
      </c>
      <c r="C184" s="278">
        <v>0.72073575171104076</v>
      </c>
      <c r="D184" s="278">
        <f t="shared" si="55"/>
        <v>1.5317018914217924</v>
      </c>
      <c r="E184" s="279"/>
      <c r="F184" s="278">
        <v>1.0360615580290153</v>
      </c>
      <c r="G184" s="278">
        <v>0.87717222927109872</v>
      </c>
      <c r="H184" s="278">
        <f t="shared" si="56"/>
        <v>1.913233787300114</v>
      </c>
      <c r="I184" s="279"/>
      <c r="J184" s="278">
        <v>0.89111808985888974</v>
      </c>
      <c r="K184" s="278">
        <v>0.97490405387910228</v>
      </c>
      <c r="L184" s="278">
        <f t="shared" si="57"/>
        <v>1.866022143737992</v>
      </c>
      <c r="M184" s="212"/>
      <c r="N184" s="212"/>
    </row>
    <row r="185" spans="1:14">
      <c r="A185" s="213" t="str">
        <f>name!E$10</f>
        <v>Sales and customer service occupations</v>
      </c>
      <c r="B185" s="278">
        <v>0.58953650139787872</v>
      </c>
      <c r="C185" s="278">
        <v>0.54830258416413535</v>
      </c>
      <c r="D185" s="278">
        <f t="shared" si="55"/>
        <v>1.137839085562014</v>
      </c>
      <c r="E185" s="279"/>
      <c r="F185" s="278">
        <v>0.56253166868717175</v>
      </c>
      <c r="G185" s="278">
        <v>0.58557323367911918</v>
      </c>
      <c r="H185" s="278">
        <f t="shared" si="56"/>
        <v>1.148104902366291</v>
      </c>
      <c r="I185" s="279"/>
      <c r="J185" s="278">
        <v>0.66122546428905571</v>
      </c>
      <c r="K185" s="278">
        <v>0.75215954886320124</v>
      </c>
      <c r="L185" s="278">
        <f t="shared" si="57"/>
        <v>1.413385013152257</v>
      </c>
      <c r="M185" s="212"/>
      <c r="N185" s="212"/>
    </row>
    <row r="186" spans="1:14">
      <c r="A186" s="213" t="str">
        <f>name!E$11</f>
        <v>Process, plant and machine operatives</v>
      </c>
      <c r="B186" s="278">
        <v>0.45696835214474529</v>
      </c>
      <c r="C186" s="278">
        <v>12.84006517629067</v>
      </c>
      <c r="D186" s="278">
        <f t="shared" si="55"/>
        <v>13.297033528435415</v>
      </c>
      <c r="E186" s="279"/>
      <c r="F186" s="278">
        <v>0.50680969426919675</v>
      </c>
      <c r="G186" s="278">
        <v>12.008146860908221</v>
      </c>
      <c r="H186" s="278">
        <f t="shared" si="56"/>
        <v>12.514956555177418</v>
      </c>
      <c r="I186" s="279"/>
      <c r="J186" s="278">
        <v>0.87278520127467585</v>
      </c>
      <c r="K186" s="278">
        <v>12.827640141864972</v>
      </c>
      <c r="L186" s="278">
        <f t="shared" si="57"/>
        <v>13.700425343139647</v>
      </c>
      <c r="M186" s="212"/>
      <c r="N186" s="212"/>
    </row>
    <row r="187" spans="1:14">
      <c r="A187" s="213" t="str">
        <f>name!E$12</f>
        <v>Elementary occupations</v>
      </c>
      <c r="B187" s="278">
        <v>1.4068350191887087</v>
      </c>
      <c r="C187" s="278">
        <v>4.7947088610008883</v>
      </c>
      <c r="D187" s="278">
        <f t="shared" si="55"/>
        <v>6.2015438801895968</v>
      </c>
      <c r="E187" s="279"/>
      <c r="F187" s="278">
        <v>1.0890670939683584</v>
      </c>
      <c r="G187" s="278">
        <v>3.9434291869109388</v>
      </c>
      <c r="H187" s="278">
        <f t="shared" si="56"/>
        <v>5.0324962808792968</v>
      </c>
      <c r="I187" s="279"/>
      <c r="J187" s="278">
        <v>1.6663986338406254</v>
      </c>
      <c r="K187" s="278">
        <v>4.4110857591914154</v>
      </c>
      <c r="L187" s="278">
        <f t="shared" si="57"/>
        <v>6.0774843930320408</v>
      </c>
      <c r="M187" s="212"/>
      <c r="N187" s="212"/>
    </row>
    <row r="188" spans="1:14">
      <c r="A188" s="213"/>
      <c r="B188" s="278"/>
      <c r="C188" s="278"/>
      <c r="D188" s="278"/>
      <c r="E188" s="279"/>
      <c r="F188" s="278"/>
      <c r="G188" s="278"/>
      <c r="H188" s="278"/>
      <c r="I188" s="279"/>
      <c r="J188" s="278"/>
      <c r="K188" s="278"/>
      <c r="L188" s="278"/>
      <c r="M188" s="212"/>
      <c r="N188" s="212"/>
    </row>
    <row r="189" spans="1:14">
      <c r="A189" s="220" t="s">
        <v>117</v>
      </c>
      <c r="B189" s="282">
        <f>SUM(B179:B187)</f>
        <v>6.8366413054563724</v>
      </c>
      <c r="C189" s="282">
        <f t="shared" ref="C189:D189" si="58">SUM(C179:C187)</f>
        <v>26.620358694543615</v>
      </c>
      <c r="D189" s="282">
        <f t="shared" si="58"/>
        <v>33.456999999999987</v>
      </c>
      <c r="E189" s="282"/>
      <c r="F189" s="282">
        <f t="shared" ref="F189:H189" si="59">SUM(F179:F187)</f>
        <v>7.213733963680462</v>
      </c>
      <c r="G189" s="282">
        <f t="shared" si="59"/>
        <v>25.734266036319497</v>
      </c>
      <c r="H189" s="282">
        <f t="shared" si="59"/>
        <v>32.947999999999965</v>
      </c>
      <c r="I189" s="282"/>
      <c r="J189" s="282">
        <f t="shared" ref="J189:L189" si="60">SUM(J179:J187)</f>
        <v>8.9648506799359762</v>
      </c>
      <c r="K189" s="282">
        <f t="shared" si="60"/>
        <v>28.796149320064053</v>
      </c>
      <c r="L189" s="282">
        <f t="shared" si="60"/>
        <v>37.761000000000038</v>
      </c>
      <c r="M189" s="212"/>
      <c r="N189" s="212"/>
    </row>
    <row r="190" spans="1:14">
      <c r="A190" s="213"/>
      <c r="B190" s="213"/>
      <c r="C190" s="213"/>
      <c r="D190" s="213"/>
      <c r="E190" s="213"/>
      <c r="F190" s="213"/>
      <c r="G190" s="213"/>
      <c r="H190" s="213"/>
      <c r="I190" s="213"/>
      <c r="J190" s="213"/>
      <c r="K190" s="213"/>
      <c r="L190" s="216"/>
      <c r="M190" s="212"/>
      <c r="N190" s="212"/>
    </row>
    <row r="191" spans="1:14">
      <c r="A191" s="213"/>
      <c r="B191" s="213"/>
      <c r="C191" s="213"/>
      <c r="D191" s="213"/>
      <c r="E191" s="213"/>
      <c r="F191" s="213"/>
      <c r="G191" s="213"/>
      <c r="H191" s="213"/>
      <c r="I191" s="213"/>
      <c r="J191" s="213"/>
      <c r="K191" s="213"/>
      <c r="L191" s="232" t="s">
        <v>112</v>
      </c>
      <c r="M191" s="212"/>
      <c r="N191" s="212"/>
    </row>
    <row r="192" spans="1:14">
      <c r="A192" s="218"/>
      <c r="B192" s="226"/>
      <c r="C192" s="226"/>
      <c r="D192" s="226"/>
      <c r="E192" s="226"/>
      <c r="F192" s="226"/>
      <c r="G192" s="226"/>
      <c r="H192" s="226"/>
      <c r="I192" s="226"/>
      <c r="J192" s="226"/>
      <c r="K192" s="226"/>
      <c r="L192" s="212"/>
      <c r="M192" s="212"/>
      <c r="N192" s="212"/>
    </row>
    <row r="193" spans="1:14">
      <c r="A193" s="217" t="str">
        <f>name!B14</f>
        <v>Accommodation and food</v>
      </c>
      <c r="B193" s="347">
        <f>B$6</f>
        <v>2015</v>
      </c>
      <c r="C193" s="347"/>
      <c r="D193" s="347"/>
      <c r="E193" s="229"/>
      <c r="F193" s="347">
        <f>F176</f>
        <v>2020</v>
      </c>
      <c r="G193" s="347"/>
      <c r="H193" s="347"/>
      <c r="I193" s="229"/>
      <c r="J193" s="347">
        <f>J176</f>
        <v>2035</v>
      </c>
      <c r="K193" s="347"/>
      <c r="L193" s="347"/>
      <c r="M193" s="212"/>
      <c r="N193" s="212"/>
    </row>
    <row r="194" spans="1:14">
      <c r="A194" s="230"/>
      <c r="B194" s="231" t="s">
        <v>154</v>
      </c>
      <c r="C194" s="231" t="s">
        <v>155</v>
      </c>
      <c r="D194" s="231" t="s">
        <v>117</v>
      </c>
      <c r="E194" s="231"/>
      <c r="F194" s="231" t="s">
        <v>154</v>
      </c>
      <c r="G194" s="231" t="s">
        <v>155</v>
      </c>
      <c r="H194" s="231" t="s">
        <v>117</v>
      </c>
      <c r="I194" s="231"/>
      <c r="J194" s="231" t="s">
        <v>154</v>
      </c>
      <c r="K194" s="231" t="s">
        <v>155</v>
      </c>
      <c r="L194" s="231" t="s">
        <v>117</v>
      </c>
      <c r="M194" s="212"/>
      <c r="N194" s="212"/>
    </row>
    <row r="195" spans="1:14">
      <c r="A195" s="234"/>
      <c r="B195" s="235"/>
      <c r="C195" s="235"/>
      <c r="D195" s="235"/>
      <c r="E195" s="235"/>
      <c r="F195" s="235"/>
      <c r="G195" s="235"/>
      <c r="H195" s="235"/>
      <c r="I195" s="235"/>
      <c r="J195" s="235"/>
      <c r="K195" s="235"/>
      <c r="L195" s="235"/>
      <c r="M195" s="212"/>
      <c r="N195" s="212"/>
    </row>
    <row r="196" spans="1:14">
      <c r="A196" s="213" t="str">
        <f>name!E$4</f>
        <v>Managers, directors and senior officials</v>
      </c>
      <c r="B196" s="278">
        <v>1.2593040366265449</v>
      </c>
      <c r="C196" s="278">
        <v>1.424113223240804</v>
      </c>
      <c r="D196" s="278">
        <f>SUM(B196:C196)</f>
        <v>2.6834172598673489</v>
      </c>
      <c r="E196" s="279"/>
      <c r="F196" s="278">
        <v>1.7180159367982533</v>
      </c>
      <c r="G196" s="278">
        <v>1.7441525037793044</v>
      </c>
      <c r="H196" s="278">
        <f>SUM(F196:G196)</f>
        <v>3.4621684405775577</v>
      </c>
      <c r="I196" s="279"/>
      <c r="J196" s="278">
        <v>1.9738782446812242</v>
      </c>
      <c r="K196" s="278">
        <v>2.3416896191964587</v>
      </c>
      <c r="L196" s="278">
        <f>SUM(J196:K196)</f>
        <v>4.3155678638776829</v>
      </c>
      <c r="M196" s="212"/>
      <c r="N196" s="212"/>
    </row>
    <row r="197" spans="1:14">
      <c r="A197" s="213" t="str">
        <f>name!E$5</f>
        <v>Professional occupations</v>
      </c>
      <c r="B197" s="278">
        <v>0.35786249439385298</v>
      </c>
      <c r="C197" s="278">
        <v>0.38904205601244979</v>
      </c>
      <c r="D197" s="278">
        <f t="shared" ref="D197:D204" si="61">SUM(B197:C197)</f>
        <v>0.74690455040630277</v>
      </c>
      <c r="E197" s="279"/>
      <c r="F197" s="278">
        <v>0.58462427498467628</v>
      </c>
      <c r="G197" s="278">
        <v>0.5986617873333907</v>
      </c>
      <c r="H197" s="278">
        <f t="shared" ref="H197:H204" si="62">SUM(F197:G197)</f>
        <v>1.183286062318067</v>
      </c>
      <c r="I197" s="279"/>
      <c r="J197" s="278">
        <v>0.79973133931513507</v>
      </c>
      <c r="K197" s="278">
        <v>0.94107861534681092</v>
      </c>
      <c r="L197" s="278">
        <f t="shared" ref="L197:L204" si="63">SUM(J197:K197)</f>
        <v>1.740809954661946</v>
      </c>
      <c r="M197" s="212"/>
      <c r="N197" s="212"/>
    </row>
    <row r="198" spans="1:14">
      <c r="A198" s="213" t="str">
        <f>name!E$6</f>
        <v>Associate professional occupations</v>
      </c>
      <c r="B198" s="278">
        <v>0.37994068032468142</v>
      </c>
      <c r="C198" s="278">
        <v>0.3961983230834209</v>
      </c>
      <c r="D198" s="278">
        <f t="shared" si="61"/>
        <v>0.77613900340810238</v>
      </c>
      <c r="E198" s="279"/>
      <c r="F198" s="278">
        <v>0.55294234526384056</v>
      </c>
      <c r="G198" s="278">
        <v>0.53465940358804487</v>
      </c>
      <c r="H198" s="278">
        <f t="shared" si="62"/>
        <v>1.0876017488518854</v>
      </c>
      <c r="I198" s="279"/>
      <c r="J198" s="278">
        <v>0.86162313182141692</v>
      </c>
      <c r="K198" s="278">
        <v>0.81509707601549986</v>
      </c>
      <c r="L198" s="278">
        <f t="shared" si="63"/>
        <v>1.6767202078369168</v>
      </c>
      <c r="M198" s="212"/>
      <c r="N198" s="212"/>
    </row>
    <row r="199" spans="1:14">
      <c r="A199" s="213" t="str">
        <f>name!E$7</f>
        <v>Administrative and secretarial occupations</v>
      </c>
      <c r="B199" s="278">
        <v>0.83426435992434678</v>
      </c>
      <c r="C199" s="278">
        <v>0.3682706435899879</v>
      </c>
      <c r="D199" s="278">
        <f t="shared" si="61"/>
        <v>1.2025350035143347</v>
      </c>
      <c r="E199" s="279"/>
      <c r="F199" s="278">
        <v>1.0364821748289619</v>
      </c>
      <c r="G199" s="278">
        <v>0.436960142077507</v>
      </c>
      <c r="H199" s="278">
        <f t="shared" si="62"/>
        <v>1.473442316906469</v>
      </c>
      <c r="I199" s="279"/>
      <c r="J199" s="278">
        <v>1.6163703056488894</v>
      </c>
      <c r="K199" s="278">
        <v>0.72755134953388323</v>
      </c>
      <c r="L199" s="278">
        <f t="shared" si="63"/>
        <v>2.3439216551827728</v>
      </c>
      <c r="M199" s="212"/>
      <c r="N199" s="212"/>
    </row>
    <row r="200" spans="1:14">
      <c r="A200" s="213" t="str">
        <f>name!E$8</f>
        <v>Skilled trades occupations</v>
      </c>
      <c r="B200" s="278">
        <v>0.88760519722899844</v>
      </c>
      <c r="C200" s="278">
        <v>1.9124780191962005</v>
      </c>
      <c r="D200" s="278">
        <f t="shared" si="61"/>
        <v>2.800083216425199</v>
      </c>
      <c r="E200" s="279"/>
      <c r="F200" s="278">
        <v>1.0048006844214792</v>
      </c>
      <c r="G200" s="278">
        <v>1.6531732341860848</v>
      </c>
      <c r="H200" s="278">
        <f t="shared" si="62"/>
        <v>2.6579739186075639</v>
      </c>
      <c r="I200" s="279"/>
      <c r="J200" s="278">
        <v>1.2290415731064643</v>
      </c>
      <c r="K200" s="278">
        <v>1.5083682175216813</v>
      </c>
      <c r="L200" s="278">
        <f t="shared" si="63"/>
        <v>2.7374097906281456</v>
      </c>
      <c r="M200" s="212"/>
      <c r="N200" s="212"/>
    </row>
    <row r="201" spans="1:14">
      <c r="A201" s="213" t="str">
        <f>name!E$9</f>
        <v>Caring, leisure and other service occupations</v>
      </c>
      <c r="B201" s="278">
        <v>0.83097733539827479</v>
      </c>
      <c r="C201" s="278">
        <v>0.17883793852444807</v>
      </c>
      <c r="D201" s="278">
        <f t="shared" si="61"/>
        <v>1.0098152739227229</v>
      </c>
      <c r="E201" s="279"/>
      <c r="F201" s="278">
        <v>0.90699859328584675</v>
      </c>
      <c r="G201" s="278">
        <v>0.23042853117729986</v>
      </c>
      <c r="H201" s="278">
        <f t="shared" si="62"/>
        <v>1.1374271244631466</v>
      </c>
      <c r="I201" s="279"/>
      <c r="J201" s="278">
        <v>1.0267356449109382</v>
      </c>
      <c r="K201" s="278">
        <v>0.29773827669096087</v>
      </c>
      <c r="L201" s="278">
        <f t="shared" si="63"/>
        <v>1.324473921601899</v>
      </c>
      <c r="M201" s="212"/>
      <c r="N201" s="212"/>
    </row>
    <row r="202" spans="1:14">
      <c r="A202" s="213" t="str">
        <f>name!E$10</f>
        <v>Sales and customer service occupations</v>
      </c>
      <c r="B202" s="278">
        <v>1.0888766428645962</v>
      </c>
      <c r="C202" s="278">
        <v>0.71291793799163272</v>
      </c>
      <c r="D202" s="278">
        <f t="shared" si="61"/>
        <v>1.801794580856229</v>
      </c>
      <c r="E202" s="279"/>
      <c r="F202" s="278">
        <v>1.2730176630673662</v>
      </c>
      <c r="G202" s="278">
        <v>0.79381071767319444</v>
      </c>
      <c r="H202" s="278">
        <f t="shared" si="62"/>
        <v>2.0668283807405605</v>
      </c>
      <c r="I202" s="279"/>
      <c r="J202" s="278">
        <v>2.2226442423753769</v>
      </c>
      <c r="K202" s="278">
        <v>1.0952612905880619</v>
      </c>
      <c r="L202" s="278">
        <f t="shared" si="63"/>
        <v>3.3179055329634388</v>
      </c>
      <c r="M202" s="212"/>
      <c r="N202" s="212"/>
    </row>
    <row r="203" spans="1:14">
      <c r="A203" s="213" t="str">
        <f>name!E$11</f>
        <v>Process, plant and machine operatives</v>
      </c>
      <c r="B203" s="278">
        <v>0.16024903030242663</v>
      </c>
      <c r="C203" s="278">
        <v>0.69006390169176235</v>
      </c>
      <c r="D203" s="278">
        <f t="shared" si="61"/>
        <v>0.850312931994189</v>
      </c>
      <c r="E203" s="279"/>
      <c r="F203" s="278">
        <v>0.16533076460939986</v>
      </c>
      <c r="G203" s="278">
        <v>0.82676010482301043</v>
      </c>
      <c r="H203" s="278">
        <f t="shared" si="62"/>
        <v>0.99209086943241032</v>
      </c>
      <c r="I203" s="279"/>
      <c r="J203" s="278">
        <v>0.41293513824650446</v>
      </c>
      <c r="K203" s="278">
        <v>1.3031623970906114</v>
      </c>
      <c r="L203" s="278">
        <f t="shared" si="63"/>
        <v>1.716097535337116</v>
      </c>
      <c r="M203" s="212"/>
      <c r="N203" s="212"/>
    </row>
    <row r="204" spans="1:14">
      <c r="A204" s="213" t="str">
        <f>name!E$12</f>
        <v>Elementary occupations</v>
      </c>
      <c r="B204" s="278">
        <v>5.8326803280264405</v>
      </c>
      <c r="C204" s="278">
        <v>4.2023178515790933</v>
      </c>
      <c r="D204" s="278">
        <f t="shared" si="61"/>
        <v>10.034998179605534</v>
      </c>
      <c r="E204" s="279"/>
      <c r="F204" s="278">
        <v>6.2891182761286153</v>
      </c>
      <c r="G204" s="278">
        <v>4.3520628619737352</v>
      </c>
      <c r="H204" s="278">
        <f t="shared" si="62"/>
        <v>10.64118113810235</v>
      </c>
      <c r="I204" s="279"/>
      <c r="J204" s="278">
        <v>5.8348164018473296</v>
      </c>
      <c r="K204" s="278">
        <v>4.3442771360627255</v>
      </c>
      <c r="L204" s="278">
        <f t="shared" si="63"/>
        <v>10.179093537910056</v>
      </c>
      <c r="M204" s="212"/>
      <c r="N204" s="212"/>
    </row>
    <row r="205" spans="1:14">
      <c r="A205" s="213"/>
      <c r="B205" s="278"/>
      <c r="C205" s="278"/>
      <c r="D205" s="278"/>
      <c r="E205" s="279"/>
      <c r="F205" s="278"/>
      <c r="G205" s="278"/>
      <c r="H205" s="278"/>
      <c r="I205" s="279"/>
      <c r="J205" s="278"/>
      <c r="K205" s="278"/>
      <c r="L205" s="278"/>
      <c r="M205" s="212"/>
      <c r="N205" s="212"/>
    </row>
    <row r="206" spans="1:14">
      <c r="A206" s="220" t="s">
        <v>117</v>
      </c>
      <c r="B206" s="282">
        <f>SUM(B196:B204)</f>
        <v>11.631760105090162</v>
      </c>
      <c r="C206" s="282">
        <f t="shared" ref="C206:D206" si="64">SUM(C196:C204)</f>
        <v>10.274239894909801</v>
      </c>
      <c r="D206" s="282">
        <f t="shared" si="64"/>
        <v>21.905999999999963</v>
      </c>
      <c r="E206" s="282"/>
      <c r="F206" s="282">
        <f t="shared" ref="F206:H206" si="65">SUM(F196:F204)</f>
        <v>13.531330713388439</v>
      </c>
      <c r="G206" s="282">
        <f t="shared" si="65"/>
        <v>11.170669286611572</v>
      </c>
      <c r="H206" s="282">
        <f t="shared" si="65"/>
        <v>24.702000000000009</v>
      </c>
      <c r="I206" s="282"/>
      <c r="J206" s="282">
        <f t="shared" ref="J206:L206" si="66">SUM(J196:J204)</f>
        <v>15.977776021953279</v>
      </c>
      <c r="K206" s="282">
        <f t="shared" si="66"/>
        <v>13.374223978046693</v>
      </c>
      <c r="L206" s="282">
        <f t="shared" si="66"/>
        <v>29.351999999999975</v>
      </c>
      <c r="M206" s="212"/>
      <c r="N206" s="212"/>
    </row>
    <row r="207" spans="1:14">
      <c r="A207" s="213"/>
      <c r="B207" s="213"/>
      <c r="C207" s="213"/>
      <c r="D207" s="213"/>
      <c r="E207" s="213"/>
      <c r="F207" s="213"/>
      <c r="G207" s="213"/>
      <c r="H207" s="213"/>
      <c r="I207" s="213"/>
      <c r="J207" s="213"/>
      <c r="K207" s="213"/>
      <c r="L207" s="216"/>
      <c r="M207" s="212"/>
      <c r="N207" s="212"/>
    </row>
    <row r="208" spans="1:14">
      <c r="A208" s="213"/>
      <c r="B208" s="213"/>
      <c r="C208" s="213"/>
      <c r="D208" s="213"/>
      <c r="E208" s="213"/>
      <c r="F208" s="213"/>
      <c r="G208" s="213"/>
      <c r="H208" s="213"/>
      <c r="I208" s="213"/>
      <c r="J208" s="213"/>
      <c r="K208" s="213"/>
      <c r="L208" s="232" t="s">
        <v>112</v>
      </c>
      <c r="M208" s="212"/>
      <c r="N208" s="212"/>
    </row>
    <row r="209" spans="1:14">
      <c r="A209" s="218"/>
      <c r="B209" s="226"/>
      <c r="C209" s="226"/>
      <c r="D209" s="226"/>
      <c r="E209" s="226"/>
      <c r="F209" s="226"/>
      <c r="G209" s="226"/>
      <c r="H209" s="226"/>
      <c r="I209" s="226"/>
      <c r="J209" s="226"/>
      <c r="K209" s="226"/>
      <c r="L209" s="212"/>
      <c r="M209" s="212"/>
      <c r="N209" s="212"/>
    </row>
    <row r="210" spans="1:14">
      <c r="A210" s="217" t="str">
        <f>name!B15</f>
        <v>Media</v>
      </c>
      <c r="B210" s="347">
        <f>B$6</f>
        <v>2015</v>
      </c>
      <c r="C210" s="347"/>
      <c r="D210" s="347"/>
      <c r="E210" s="229"/>
      <c r="F210" s="347">
        <f>F193</f>
        <v>2020</v>
      </c>
      <c r="G210" s="347"/>
      <c r="H210" s="347"/>
      <c r="I210" s="229"/>
      <c r="J210" s="347">
        <f>J193</f>
        <v>2035</v>
      </c>
      <c r="K210" s="347"/>
      <c r="L210" s="347"/>
      <c r="M210" s="212"/>
      <c r="N210" s="212"/>
    </row>
    <row r="211" spans="1:14">
      <c r="A211" s="230"/>
      <c r="B211" s="231" t="s">
        <v>154</v>
      </c>
      <c r="C211" s="231" t="s">
        <v>155</v>
      </c>
      <c r="D211" s="231" t="s">
        <v>117</v>
      </c>
      <c r="E211" s="231"/>
      <c r="F211" s="231" t="s">
        <v>154</v>
      </c>
      <c r="G211" s="231" t="s">
        <v>155</v>
      </c>
      <c r="H211" s="231" t="s">
        <v>117</v>
      </c>
      <c r="I211" s="231"/>
      <c r="J211" s="231" t="s">
        <v>154</v>
      </c>
      <c r="K211" s="231" t="s">
        <v>155</v>
      </c>
      <c r="L211" s="231" t="s">
        <v>117</v>
      </c>
      <c r="M211" s="212"/>
      <c r="N211" s="212"/>
    </row>
    <row r="212" spans="1:14">
      <c r="A212" s="234"/>
      <c r="B212" s="235"/>
      <c r="C212" s="235"/>
      <c r="D212" s="235"/>
      <c r="E212" s="235"/>
      <c r="F212" s="235"/>
      <c r="G212" s="235"/>
      <c r="H212" s="235"/>
      <c r="I212" s="235"/>
      <c r="J212" s="235"/>
      <c r="K212" s="235"/>
      <c r="L212" s="235"/>
      <c r="M212" s="212"/>
      <c r="N212" s="212"/>
    </row>
    <row r="213" spans="1:14">
      <c r="A213" s="213" t="str">
        <f>name!E$4</f>
        <v>Managers, directors and senior officials</v>
      </c>
      <c r="B213" s="278">
        <v>4.1315879907142361E-2</v>
      </c>
      <c r="C213" s="278">
        <v>0.11048594925105333</v>
      </c>
      <c r="D213" s="278">
        <f>SUM(B213:C213)</f>
        <v>0.15180182915819568</v>
      </c>
      <c r="E213" s="279"/>
      <c r="F213" s="278">
        <v>5.8006170764346027E-2</v>
      </c>
      <c r="G213" s="278">
        <v>0.14137551639463622</v>
      </c>
      <c r="H213" s="278">
        <f>SUM(F213:G213)</f>
        <v>0.19938168715898225</v>
      </c>
      <c r="I213" s="279"/>
      <c r="J213" s="278">
        <v>5.2940833674194457E-2</v>
      </c>
      <c r="K213" s="278">
        <v>0.13991596630951211</v>
      </c>
      <c r="L213" s="278">
        <f>SUM(J213:K213)</f>
        <v>0.19285679998370658</v>
      </c>
      <c r="M213" s="212"/>
      <c r="N213" s="212"/>
    </row>
    <row r="214" spans="1:14">
      <c r="A214" s="213" t="str">
        <f>name!E$5</f>
        <v>Professional occupations</v>
      </c>
      <c r="B214" s="278">
        <v>7.3818955410873216E-2</v>
      </c>
      <c r="C214" s="278">
        <v>0.2689932307993374</v>
      </c>
      <c r="D214" s="278">
        <f t="shared" ref="D214:D221" si="67">SUM(B214:C214)</f>
        <v>0.34281218621021059</v>
      </c>
      <c r="E214" s="279"/>
      <c r="F214" s="278">
        <v>0.10317480128899793</v>
      </c>
      <c r="G214" s="278">
        <v>0.37396489514335624</v>
      </c>
      <c r="H214" s="278">
        <f t="shared" ref="H214:H221" si="68">SUM(F214:G214)</f>
        <v>0.47713969643235415</v>
      </c>
      <c r="I214" s="279"/>
      <c r="J214" s="278">
        <v>0.11420400744588886</v>
      </c>
      <c r="K214" s="278">
        <v>0.39939353289696256</v>
      </c>
      <c r="L214" s="278">
        <f t="shared" ref="L214:L221" si="69">SUM(J214:K214)</f>
        <v>0.51359754034285143</v>
      </c>
      <c r="M214" s="212"/>
      <c r="N214" s="212"/>
    </row>
    <row r="215" spans="1:14">
      <c r="A215" s="213" t="str">
        <f>name!E$6</f>
        <v>Associate professional occupations</v>
      </c>
      <c r="B215" s="278">
        <v>0.11384856233491968</v>
      </c>
      <c r="C215" s="278">
        <v>0.29972167879476314</v>
      </c>
      <c r="D215" s="278">
        <f t="shared" si="67"/>
        <v>0.41357024112968283</v>
      </c>
      <c r="E215" s="279"/>
      <c r="F215" s="278">
        <v>0.17724285242380972</v>
      </c>
      <c r="G215" s="278">
        <v>0.415540222831976</v>
      </c>
      <c r="H215" s="278">
        <f t="shared" si="68"/>
        <v>0.59278307525578566</v>
      </c>
      <c r="I215" s="279"/>
      <c r="J215" s="278">
        <v>0.17619079223283046</v>
      </c>
      <c r="K215" s="278">
        <v>0.3837080479816784</v>
      </c>
      <c r="L215" s="278">
        <f t="shared" si="69"/>
        <v>0.55989884021450886</v>
      </c>
      <c r="M215" s="212"/>
      <c r="N215" s="212"/>
    </row>
    <row r="216" spans="1:14">
      <c r="A216" s="213" t="str">
        <f>name!E$7</f>
        <v>Administrative and secretarial occupations</v>
      </c>
      <c r="B216" s="278">
        <v>0.14396432466371703</v>
      </c>
      <c r="C216" s="278">
        <v>5.0194904704995345E-2</v>
      </c>
      <c r="D216" s="278">
        <f t="shared" si="67"/>
        <v>0.19415922936871238</v>
      </c>
      <c r="E216" s="279"/>
      <c r="F216" s="278">
        <v>0.13668167955372948</v>
      </c>
      <c r="G216" s="278">
        <v>6.0278512622447128E-2</v>
      </c>
      <c r="H216" s="278">
        <f t="shared" si="68"/>
        <v>0.19696019217617661</v>
      </c>
      <c r="I216" s="279"/>
      <c r="J216" s="278">
        <v>0.12586482720980216</v>
      </c>
      <c r="K216" s="278">
        <v>5.9483245498046365E-2</v>
      </c>
      <c r="L216" s="278">
        <f t="shared" si="69"/>
        <v>0.18534807270784853</v>
      </c>
      <c r="M216" s="212"/>
      <c r="N216" s="212"/>
    </row>
    <row r="217" spans="1:14">
      <c r="A217" s="213" t="str">
        <f>name!E$8</f>
        <v>Skilled trades occupations</v>
      </c>
      <c r="B217" s="278">
        <v>1.7832919328677567E-2</v>
      </c>
      <c r="C217" s="278">
        <v>0.10182502126478851</v>
      </c>
      <c r="D217" s="278">
        <f t="shared" si="67"/>
        <v>0.11965794059346607</v>
      </c>
      <c r="E217" s="279"/>
      <c r="F217" s="278">
        <v>3.0049495325642238E-2</v>
      </c>
      <c r="G217" s="278">
        <v>0.10218892326826508</v>
      </c>
      <c r="H217" s="278">
        <f t="shared" si="68"/>
        <v>0.13223841859390731</v>
      </c>
      <c r="I217" s="279"/>
      <c r="J217" s="278">
        <v>3.570449011144429E-2</v>
      </c>
      <c r="K217" s="278">
        <v>9.317716192092014E-2</v>
      </c>
      <c r="L217" s="278">
        <f t="shared" si="69"/>
        <v>0.12888165203236443</v>
      </c>
      <c r="M217" s="212"/>
      <c r="N217" s="212"/>
    </row>
    <row r="218" spans="1:14">
      <c r="A218" s="213" t="str">
        <f>name!E$9</f>
        <v>Caring, leisure and other service occupations</v>
      </c>
      <c r="B218" s="278">
        <v>7.5725197158118082E-2</v>
      </c>
      <c r="C218" s="278">
        <v>2.6157438679906088E-2</v>
      </c>
      <c r="D218" s="278">
        <f t="shared" si="67"/>
        <v>0.10188263583802418</v>
      </c>
      <c r="E218" s="279"/>
      <c r="F218" s="278">
        <v>7.2413518359030898E-2</v>
      </c>
      <c r="G218" s="278">
        <v>3.5676253228925175E-2</v>
      </c>
      <c r="H218" s="278">
        <f t="shared" si="68"/>
        <v>0.10808977158795607</v>
      </c>
      <c r="I218" s="279"/>
      <c r="J218" s="278">
        <v>6.7586159362577572E-2</v>
      </c>
      <c r="K218" s="278">
        <v>4.1032506704611532E-2</v>
      </c>
      <c r="L218" s="278">
        <f t="shared" si="69"/>
        <v>0.1086186660671891</v>
      </c>
      <c r="M218" s="212"/>
      <c r="N218" s="212"/>
    </row>
    <row r="219" spans="1:14">
      <c r="A219" s="213" t="str">
        <f>name!E$10</f>
        <v>Sales and customer service occupations</v>
      </c>
      <c r="B219" s="278">
        <v>5.0758927017071964E-2</v>
      </c>
      <c r="C219" s="278">
        <v>4.8343145399085977E-2</v>
      </c>
      <c r="D219" s="278">
        <f t="shared" si="67"/>
        <v>9.9102072416157941E-2</v>
      </c>
      <c r="E219" s="279"/>
      <c r="F219" s="278">
        <v>4.9242457367677343E-2</v>
      </c>
      <c r="G219" s="278">
        <v>5.4081531249773232E-2</v>
      </c>
      <c r="H219" s="278">
        <f t="shared" si="68"/>
        <v>0.10332398861745057</v>
      </c>
      <c r="I219" s="279"/>
      <c r="J219" s="278">
        <v>4.7152385048090509E-2</v>
      </c>
      <c r="K219" s="278">
        <v>6.639141414867876E-2</v>
      </c>
      <c r="L219" s="278">
        <f t="shared" si="69"/>
        <v>0.11354379919676927</v>
      </c>
      <c r="M219" s="212"/>
      <c r="N219" s="212"/>
    </row>
    <row r="220" spans="1:14">
      <c r="A220" s="213" t="str">
        <f>name!E$11</f>
        <v>Process, plant and machine operatives</v>
      </c>
      <c r="B220" s="278">
        <v>1.1984033773179116E-2</v>
      </c>
      <c r="C220" s="278">
        <v>2.5031856619956293E-2</v>
      </c>
      <c r="D220" s="278">
        <f t="shared" si="67"/>
        <v>3.7015890393135409E-2</v>
      </c>
      <c r="E220" s="279"/>
      <c r="F220" s="278">
        <v>2.4522740744602561E-2</v>
      </c>
      <c r="G220" s="278">
        <v>2.8361629677888685E-2</v>
      </c>
      <c r="H220" s="278">
        <f t="shared" si="68"/>
        <v>5.288437042249125E-2</v>
      </c>
      <c r="I220" s="279"/>
      <c r="J220" s="278">
        <v>3.472831146540372E-2</v>
      </c>
      <c r="K220" s="278">
        <v>2.7025983374436742E-2</v>
      </c>
      <c r="L220" s="278">
        <f t="shared" si="69"/>
        <v>6.1754294839840462E-2</v>
      </c>
      <c r="M220" s="212"/>
      <c r="N220" s="212"/>
    </row>
    <row r="221" spans="1:14">
      <c r="A221" s="213" t="str">
        <f>name!E$12</f>
        <v>Elementary occupations</v>
      </c>
      <c r="B221" s="278">
        <v>0.13606608732439124</v>
      </c>
      <c r="C221" s="278">
        <v>0.1119318875680215</v>
      </c>
      <c r="D221" s="278">
        <f t="shared" si="67"/>
        <v>0.24799797489241274</v>
      </c>
      <c r="E221" s="279"/>
      <c r="F221" s="278">
        <v>0.14620781031733515</v>
      </c>
      <c r="G221" s="278">
        <v>0.10099098943756282</v>
      </c>
      <c r="H221" s="278">
        <f t="shared" si="68"/>
        <v>0.24719879975489797</v>
      </c>
      <c r="I221" s="279"/>
      <c r="J221" s="278">
        <v>0.12461381304218269</v>
      </c>
      <c r="K221" s="278">
        <v>0.11688652157273681</v>
      </c>
      <c r="L221" s="278">
        <f t="shared" si="69"/>
        <v>0.24150033461491949</v>
      </c>
      <c r="M221" s="212"/>
      <c r="N221" s="212"/>
    </row>
    <row r="222" spans="1:14">
      <c r="A222" s="213"/>
      <c r="B222" s="278"/>
      <c r="C222" s="278"/>
      <c r="D222" s="278"/>
      <c r="E222" s="279"/>
      <c r="F222" s="278"/>
      <c r="G222" s="278"/>
      <c r="H222" s="278"/>
      <c r="I222" s="279"/>
      <c r="J222" s="278"/>
      <c r="K222" s="278"/>
      <c r="L222" s="278"/>
      <c r="M222" s="212"/>
      <c r="N222" s="212"/>
    </row>
    <row r="223" spans="1:14">
      <c r="A223" s="220" t="s">
        <v>117</v>
      </c>
      <c r="B223" s="282">
        <f>SUM(B213:B221)</f>
        <v>0.66531488691809026</v>
      </c>
      <c r="C223" s="282">
        <f t="shared" ref="C223:D223" si="70">SUM(C213:C221)</f>
        <v>1.0426851130819077</v>
      </c>
      <c r="D223" s="282">
        <f t="shared" si="70"/>
        <v>1.7079999999999982</v>
      </c>
      <c r="E223" s="282"/>
      <c r="F223" s="282">
        <f t="shared" ref="F223:H223" si="71">SUM(F213:F221)</f>
        <v>0.79754152614517126</v>
      </c>
      <c r="G223" s="282">
        <f t="shared" si="71"/>
        <v>1.3124584738548306</v>
      </c>
      <c r="H223" s="282">
        <f t="shared" si="71"/>
        <v>2.1100000000000021</v>
      </c>
      <c r="I223" s="282"/>
      <c r="J223" s="282">
        <f t="shared" ref="J223:L223" si="72">SUM(J213:J221)</f>
        <v>0.77898561959241464</v>
      </c>
      <c r="K223" s="282">
        <f t="shared" si="72"/>
        <v>1.3270143804075836</v>
      </c>
      <c r="L223" s="282">
        <f t="shared" si="72"/>
        <v>2.1059999999999977</v>
      </c>
      <c r="M223" s="212"/>
      <c r="N223" s="212"/>
    </row>
    <row r="224" spans="1:14">
      <c r="A224" s="213"/>
      <c r="B224" s="213"/>
      <c r="C224" s="213"/>
      <c r="D224" s="213"/>
      <c r="E224" s="213"/>
      <c r="F224" s="213"/>
      <c r="G224" s="213"/>
      <c r="H224" s="213"/>
      <c r="I224" s="213"/>
      <c r="J224" s="213"/>
      <c r="K224" s="213"/>
      <c r="L224" s="216"/>
      <c r="M224" s="212"/>
      <c r="N224" s="212"/>
    </row>
    <row r="225" spans="1:14">
      <c r="A225" s="213"/>
      <c r="B225" s="213"/>
      <c r="C225" s="213"/>
      <c r="D225" s="213"/>
      <c r="E225" s="213"/>
      <c r="F225" s="213"/>
      <c r="G225" s="213"/>
      <c r="H225" s="213"/>
      <c r="I225" s="213"/>
      <c r="J225" s="213"/>
      <c r="K225" s="213"/>
      <c r="L225" s="232" t="s">
        <v>112</v>
      </c>
      <c r="M225" s="212"/>
      <c r="N225" s="212"/>
    </row>
    <row r="226" spans="1:14">
      <c r="A226" s="218"/>
      <c r="B226" s="226"/>
      <c r="C226" s="226"/>
      <c r="D226" s="226"/>
      <c r="E226" s="226"/>
      <c r="F226" s="226"/>
      <c r="G226" s="226"/>
      <c r="H226" s="226"/>
      <c r="I226" s="226"/>
      <c r="J226" s="226"/>
      <c r="K226" s="226"/>
      <c r="L226" s="212"/>
      <c r="M226" s="212"/>
      <c r="N226" s="212"/>
    </row>
    <row r="227" spans="1:14">
      <c r="A227" s="217" t="str">
        <f>name!B16</f>
        <v>Information technology</v>
      </c>
      <c r="B227" s="347">
        <f>B$6</f>
        <v>2015</v>
      </c>
      <c r="C227" s="347"/>
      <c r="D227" s="347"/>
      <c r="E227" s="229"/>
      <c r="F227" s="347">
        <f>F210</f>
        <v>2020</v>
      </c>
      <c r="G227" s="347"/>
      <c r="H227" s="347"/>
      <c r="I227" s="229"/>
      <c r="J227" s="347">
        <f>J210</f>
        <v>2035</v>
      </c>
      <c r="K227" s="347"/>
      <c r="L227" s="347"/>
      <c r="M227" s="212"/>
      <c r="N227" s="212"/>
    </row>
    <row r="228" spans="1:14">
      <c r="A228" s="230"/>
      <c r="B228" s="231" t="s">
        <v>154</v>
      </c>
      <c r="C228" s="231" t="s">
        <v>155</v>
      </c>
      <c r="D228" s="231" t="s">
        <v>117</v>
      </c>
      <c r="E228" s="231"/>
      <c r="F228" s="231" t="s">
        <v>154</v>
      </c>
      <c r="G228" s="231" t="s">
        <v>155</v>
      </c>
      <c r="H228" s="231" t="s">
        <v>117</v>
      </c>
      <c r="I228" s="231"/>
      <c r="J228" s="231" t="s">
        <v>154</v>
      </c>
      <c r="K228" s="231" t="s">
        <v>155</v>
      </c>
      <c r="L228" s="231" t="s">
        <v>117</v>
      </c>
      <c r="M228" s="212"/>
      <c r="N228" s="212"/>
    </row>
    <row r="229" spans="1:14">
      <c r="A229" s="234"/>
      <c r="B229" s="235"/>
      <c r="C229" s="235"/>
      <c r="D229" s="235"/>
      <c r="E229" s="235"/>
      <c r="F229" s="235"/>
      <c r="G229" s="235"/>
      <c r="H229" s="235"/>
      <c r="I229" s="235"/>
      <c r="J229" s="235"/>
      <c r="K229" s="235"/>
      <c r="L229" s="235"/>
      <c r="M229" s="212"/>
      <c r="N229" s="212"/>
    </row>
    <row r="230" spans="1:14">
      <c r="A230" s="213" t="str">
        <f>name!E$4</f>
        <v>Managers, directors and senior officials</v>
      </c>
      <c r="B230" s="278">
        <v>0.25951187637975459</v>
      </c>
      <c r="C230" s="278">
        <v>0.66082375824166995</v>
      </c>
      <c r="D230" s="278">
        <f>SUM(B230:C230)</f>
        <v>0.92033563462142454</v>
      </c>
      <c r="E230" s="279"/>
      <c r="F230" s="278">
        <v>0.29532874905205897</v>
      </c>
      <c r="G230" s="278">
        <v>0.72855893607095301</v>
      </c>
      <c r="H230" s="278">
        <f>SUM(F230:G230)</f>
        <v>1.0238876851230119</v>
      </c>
      <c r="I230" s="279"/>
      <c r="J230" s="278">
        <v>0.32129060083384336</v>
      </c>
      <c r="K230" s="278">
        <v>0.65211071725460523</v>
      </c>
      <c r="L230" s="278">
        <f>SUM(J230:K230)</f>
        <v>0.97340131808844865</v>
      </c>
      <c r="M230" s="212"/>
      <c r="N230" s="212"/>
    </row>
    <row r="231" spans="1:14">
      <c r="A231" s="213" t="str">
        <f>name!E$5</f>
        <v>Professional occupations</v>
      </c>
      <c r="B231" s="278">
        <v>0.47598021465994894</v>
      </c>
      <c r="C231" s="278">
        <v>2.2499728116092101</v>
      </c>
      <c r="D231" s="278">
        <f t="shared" ref="D231:D238" si="73">SUM(B231:C231)</f>
        <v>2.7259530262691589</v>
      </c>
      <c r="E231" s="279"/>
      <c r="F231" s="278">
        <v>0.59667035240782074</v>
      </c>
      <c r="G231" s="278">
        <v>2.4843528211320565</v>
      </c>
      <c r="H231" s="278">
        <f t="shared" ref="H231:H238" si="74">SUM(F231:G231)</f>
        <v>3.0810231735398772</v>
      </c>
      <c r="I231" s="279"/>
      <c r="J231" s="278">
        <v>0.78226861270527481</v>
      </c>
      <c r="K231" s="278">
        <v>2.8541743473869912</v>
      </c>
      <c r="L231" s="278">
        <f t="shared" ref="L231:L238" si="75">SUM(J231:K231)</f>
        <v>3.6364429600922659</v>
      </c>
      <c r="M231" s="212"/>
      <c r="N231" s="212"/>
    </row>
    <row r="232" spans="1:14">
      <c r="A232" s="213" t="str">
        <f>name!E$6</f>
        <v>Associate professional occupations</v>
      </c>
      <c r="B232" s="278">
        <v>0.38474186466049931</v>
      </c>
      <c r="C232" s="278">
        <v>0.81448478475150543</v>
      </c>
      <c r="D232" s="278">
        <f t="shared" si="73"/>
        <v>1.1992266494120047</v>
      </c>
      <c r="E232" s="279"/>
      <c r="F232" s="278">
        <v>0.41921357443127699</v>
      </c>
      <c r="G232" s="278">
        <v>0.8652902967893441</v>
      </c>
      <c r="H232" s="278">
        <f t="shared" si="74"/>
        <v>1.2845038712206212</v>
      </c>
      <c r="I232" s="279"/>
      <c r="J232" s="278">
        <v>0.46548296023168234</v>
      </c>
      <c r="K232" s="278">
        <v>0.80007377222538467</v>
      </c>
      <c r="L232" s="278">
        <f t="shared" si="75"/>
        <v>1.2655567324570671</v>
      </c>
      <c r="M232" s="212"/>
      <c r="N232" s="212"/>
    </row>
    <row r="233" spans="1:14">
      <c r="A233" s="213" t="str">
        <f>name!E$7</f>
        <v>Administrative and secretarial occupations</v>
      </c>
      <c r="B233" s="278">
        <v>0.49571876720699892</v>
      </c>
      <c r="C233" s="278">
        <v>0.19627903097952487</v>
      </c>
      <c r="D233" s="278">
        <f t="shared" si="73"/>
        <v>0.69199779818652374</v>
      </c>
      <c r="E233" s="279"/>
      <c r="F233" s="278">
        <v>0.35365953384685606</v>
      </c>
      <c r="G233" s="278">
        <v>0.20554512784827256</v>
      </c>
      <c r="H233" s="278">
        <f t="shared" si="74"/>
        <v>0.55920466169512861</v>
      </c>
      <c r="I233" s="279"/>
      <c r="J233" s="278">
        <v>0.26844145964292698</v>
      </c>
      <c r="K233" s="278">
        <v>0.23140821402576661</v>
      </c>
      <c r="L233" s="278">
        <f t="shared" si="75"/>
        <v>0.49984967366869359</v>
      </c>
      <c r="M233" s="212"/>
      <c r="N233" s="212"/>
    </row>
    <row r="234" spans="1:14">
      <c r="A234" s="213" t="str">
        <f>name!E$8</f>
        <v>Skilled trades occupations</v>
      </c>
      <c r="B234" s="278">
        <v>2.5735305641544595E-2</v>
      </c>
      <c r="C234" s="278">
        <v>0.33701432218038724</v>
      </c>
      <c r="D234" s="278">
        <f t="shared" si="73"/>
        <v>0.36274962782193182</v>
      </c>
      <c r="E234" s="279"/>
      <c r="F234" s="278">
        <v>2.908379852681334E-2</v>
      </c>
      <c r="G234" s="278">
        <v>0.31393987208532226</v>
      </c>
      <c r="H234" s="278">
        <f t="shared" si="74"/>
        <v>0.34302367061213562</v>
      </c>
      <c r="I234" s="279"/>
      <c r="J234" s="278">
        <v>4.7839858253252057E-2</v>
      </c>
      <c r="K234" s="278">
        <v>0.31187198191058457</v>
      </c>
      <c r="L234" s="278">
        <f t="shared" si="75"/>
        <v>0.35971184016383662</v>
      </c>
      <c r="M234" s="212"/>
      <c r="N234" s="212"/>
    </row>
    <row r="235" spans="1:14">
      <c r="A235" s="213" t="str">
        <f>name!E$9</f>
        <v>Caring, leisure and other service occupations</v>
      </c>
      <c r="B235" s="278">
        <v>9.7577642592317229E-2</v>
      </c>
      <c r="C235" s="278">
        <v>7.323218450704469E-2</v>
      </c>
      <c r="D235" s="278">
        <f t="shared" si="73"/>
        <v>0.17080982709936193</v>
      </c>
      <c r="E235" s="279"/>
      <c r="F235" s="278">
        <v>8.5418560796842027E-2</v>
      </c>
      <c r="G235" s="278">
        <v>7.1161928856059833E-2</v>
      </c>
      <c r="H235" s="278">
        <f t="shared" si="74"/>
        <v>0.15658048965290186</v>
      </c>
      <c r="I235" s="279"/>
      <c r="J235" s="278">
        <v>0.10036653531309286</v>
      </c>
      <c r="K235" s="278">
        <v>8.8973329647323629E-2</v>
      </c>
      <c r="L235" s="278">
        <f t="shared" si="75"/>
        <v>0.18933986496041649</v>
      </c>
      <c r="M235" s="212"/>
      <c r="N235" s="212"/>
    </row>
    <row r="236" spans="1:14">
      <c r="A236" s="213" t="str">
        <f>name!E$10</f>
        <v>Sales and customer service occupations</v>
      </c>
      <c r="B236" s="278">
        <v>0.19609226719786402</v>
      </c>
      <c r="C236" s="278">
        <v>0.10176716850161847</v>
      </c>
      <c r="D236" s="278">
        <f t="shared" si="73"/>
        <v>0.29785943569948248</v>
      </c>
      <c r="E236" s="279"/>
      <c r="F236" s="278">
        <v>0.15353952964374665</v>
      </c>
      <c r="G236" s="278">
        <v>0.11500825293555181</v>
      </c>
      <c r="H236" s="278">
        <f t="shared" si="74"/>
        <v>0.26854778257929846</v>
      </c>
      <c r="I236" s="279"/>
      <c r="J236" s="278">
        <v>0.15268813345561807</v>
      </c>
      <c r="K236" s="278">
        <v>0.13907854171455086</v>
      </c>
      <c r="L236" s="278">
        <f t="shared" si="75"/>
        <v>0.29176667517016897</v>
      </c>
      <c r="M236" s="212"/>
      <c r="N236" s="212"/>
    </row>
    <row r="237" spans="1:14">
      <c r="A237" s="213" t="str">
        <f>name!E$11</f>
        <v>Process, plant and machine operatives</v>
      </c>
      <c r="B237" s="278">
        <v>1.2957006378903941E-2</v>
      </c>
      <c r="C237" s="278">
        <v>4.8707249215414354E-2</v>
      </c>
      <c r="D237" s="278">
        <f t="shared" si="73"/>
        <v>6.1664255594318297E-2</v>
      </c>
      <c r="E237" s="279"/>
      <c r="F237" s="278">
        <v>1.024108586619797E-2</v>
      </c>
      <c r="G237" s="278">
        <v>6.0945757465292461E-2</v>
      </c>
      <c r="H237" s="278">
        <f t="shared" si="74"/>
        <v>7.1186843331490432E-2</v>
      </c>
      <c r="I237" s="279"/>
      <c r="J237" s="278">
        <v>1.2639221178891125E-2</v>
      </c>
      <c r="K237" s="278">
        <v>6.410245397604887E-2</v>
      </c>
      <c r="L237" s="278">
        <f t="shared" si="75"/>
        <v>7.6741675154940001E-2</v>
      </c>
      <c r="M237" s="212"/>
      <c r="N237" s="212"/>
    </row>
    <row r="238" spans="1:14">
      <c r="A238" s="213" t="str">
        <f>name!E$12</f>
        <v>Elementary occupations</v>
      </c>
      <c r="B238" s="278">
        <v>4.2003580042621648E-2</v>
      </c>
      <c r="C238" s="278">
        <v>6.5400165253173465E-2</v>
      </c>
      <c r="D238" s="278">
        <f t="shared" si="73"/>
        <v>0.10740374529579511</v>
      </c>
      <c r="E238" s="279"/>
      <c r="F238" s="278">
        <v>2.7836208393808022E-2</v>
      </c>
      <c r="G238" s="278">
        <v>5.7205613851712599E-2</v>
      </c>
      <c r="H238" s="278">
        <f t="shared" si="74"/>
        <v>8.5041822245520621E-2</v>
      </c>
      <c r="I238" s="279"/>
      <c r="J238" s="278">
        <v>4.2381819977474415E-2</v>
      </c>
      <c r="K238" s="278">
        <v>5.4807440266680163E-2</v>
      </c>
      <c r="L238" s="278">
        <f t="shared" si="75"/>
        <v>9.7189260244154585E-2</v>
      </c>
      <c r="M238" s="212"/>
      <c r="N238" s="212"/>
    </row>
    <row r="239" spans="1:14">
      <c r="A239" s="213"/>
      <c r="B239" s="278"/>
      <c r="C239" s="278"/>
      <c r="D239" s="278"/>
      <c r="E239" s="279"/>
      <c r="F239" s="278"/>
      <c r="G239" s="278"/>
      <c r="H239" s="278"/>
      <c r="I239" s="279"/>
      <c r="J239" s="278"/>
      <c r="K239" s="278"/>
      <c r="L239" s="278"/>
      <c r="M239" s="212"/>
      <c r="N239" s="212"/>
    </row>
    <row r="240" spans="1:14">
      <c r="A240" s="220" t="s">
        <v>117</v>
      </c>
      <c r="B240" s="282">
        <f>SUM(B230:B238)</f>
        <v>1.9903185247604531</v>
      </c>
      <c r="C240" s="282">
        <f t="shared" ref="C240:D240" si="76">SUM(C230:C238)</f>
        <v>4.547681475239548</v>
      </c>
      <c r="D240" s="282">
        <f t="shared" si="76"/>
        <v>6.538000000000002</v>
      </c>
      <c r="E240" s="282"/>
      <c r="F240" s="282">
        <f t="shared" ref="F240:H240" si="77">SUM(F230:F238)</f>
        <v>1.9709913929654206</v>
      </c>
      <c r="G240" s="282">
        <f t="shared" si="77"/>
        <v>4.9020086070345652</v>
      </c>
      <c r="H240" s="282">
        <f t="shared" si="77"/>
        <v>6.8729999999999851</v>
      </c>
      <c r="I240" s="282"/>
      <c r="J240" s="282">
        <f t="shared" ref="J240:L240" si="78">SUM(J230:J238)</f>
        <v>2.1933992015920563</v>
      </c>
      <c r="K240" s="282">
        <f t="shared" si="78"/>
        <v>5.1966007984079363</v>
      </c>
      <c r="L240" s="282">
        <f t="shared" si="78"/>
        <v>7.3899999999999917</v>
      </c>
      <c r="M240" s="212"/>
      <c r="N240" s="212"/>
    </row>
    <row r="241" spans="1:14">
      <c r="A241" s="213"/>
      <c r="B241" s="213"/>
      <c r="C241" s="213"/>
      <c r="D241" s="213"/>
      <c r="E241" s="213"/>
      <c r="F241" s="213"/>
      <c r="G241" s="213"/>
      <c r="H241" s="213"/>
      <c r="I241" s="213"/>
      <c r="J241" s="213"/>
      <c r="K241" s="213"/>
      <c r="L241" s="216"/>
      <c r="M241" s="212"/>
      <c r="N241" s="212"/>
    </row>
    <row r="242" spans="1:14">
      <c r="A242" s="213"/>
      <c r="B242" s="213"/>
      <c r="C242" s="213"/>
      <c r="D242" s="213"/>
      <c r="E242" s="213"/>
      <c r="F242" s="213"/>
      <c r="G242" s="213"/>
      <c r="H242" s="213"/>
      <c r="I242" s="213"/>
      <c r="J242" s="213"/>
      <c r="K242" s="213"/>
      <c r="L242" s="232" t="s">
        <v>112</v>
      </c>
      <c r="M242" s="212"/>
      <c r="N242" s="212"/>
    </row>
    <row r="243" spans="1:14">
      <c r="A243" s="218"/>
      <c r="B243" s="226"/>
      <c r="C243" s="226"/>
      <c r="D243" s="226"/>
      <c r="E243" s="226"/>
      <c r="F243" s="226"/>
      <c r="G243" s="226"/>
      <c r="H243" s="226"/>
      <c r="I243" s="226"/>
      <c r="J243" s="226"/>
      <c r="K243" s="226"/>
      <c r="L243" s="212"/>
      <c r="M243" s="212"/>
      <c r="N243" s="212"/>
    </row>
    <row r="244" spans="1:14">
      <c r="A244" s="217" t="str">
        <f>name!B17</f>
        <v>Finance and insurance</v>
      </c>
      <c r="B244" s="347">
        <f>B$6</f>
        <v>2015</v>
      </c>
      <c r="C244" s="347"/>
      <c r="D244" s="347"/>
      <c r="E244" s="229"/>
      <c r="F244" s="347">
        <f>F227</f>
        <v>2020</v>
      </c>
      <c r="G244" s="347"/>
      <c r="H244" s="347"/>
      <c r="I244" s="229"/>
      <c r="J244" s="347">
        <f>J227</f>
        <v>2035</v>
      </c>
      <c r="K244" s="347"/>
      <c r="L244" s="347"/>
      <c r="M244" s="212"/>
      <c r="N244" s="212"/>
    </row>
    <row r="245" spans="1:14">
      <c r="A245" s="230"/>
      <c r="B245" s="231" t="s">
        <v>154</v>
      </c>
      <c r="C245" s="231" t="s">
        <v>155</v>
      </c>
      <c r="D245" s="231" t="s">
        <v>117</v>
      </c>
      <c r="E245" s="231"/>
      <c r="F245" s="231" t="s">
        <v>154</v>
      </c>
      <c r="G245" s="231" t="s">
        <v>155</v>
      </c>
      <c r="H245" s="231" t="s">
        <v>117</v>
      </c>
      <c r="I245" s="231"/>
      <c r="J245" s="231" t="s">
        <v>154</v>
      </c>
      <c r="K245" s="231" t="s">
        <v>155</v>
      </c>
      <c r="L245" s="231" t="s">
        <v>117</v>
      </c>
      <c r="M245" s="212"/>
      <c r="N245" s="212"/>
    </row>
    <row r="246" spans="1:14">
      <c r="A246" s="234"/>
      <c r="B246" s="235"/>
      <c r="C246" s="235"/>
      <c r="D246" s="235"/>
      <c r="E246" s="235"/>
      <c r="F246" s="235"/>
      <c r="G246" s="235"/>
      <c r="H246" s="235"/>
      <c r="I246" s="235"/>
      <c r="J246" s="235"/>
      <c r="K246" s="235"/>
      <c r="L246" s="235"/>
      <c r="M246" s="212"/>
      <c r="N246" s="212"/>
    </row>
    <row r="247" spans="1:14">
      <c r="A247" s="213" t="str">
        <f>name!E$4</f>
        <v>Managers, directors and senior officials</v>
      </c>
      <c r="B247" s="278">
        <v>0.44923657468432465</v>
      </c>
      <c r="C247" s="278">
        <v>0.93978008302135263</v>
      </c>
      <c r="D247" s="278">
        <f>SUM(B247:C247)</f>
        <v>1.3890166577056773</v>
      </c>
      <c r="E247" s="279"/>
      <c r="F247" s="278">
        <v>0.54109727976261879</v>
      </c>
      <c r="G247" s="278">
        <v>0.97665614511239929</v>
      </c>
      <c r="H247" s="278">
        <f>SUM(F247:G247)</f>
        <v>1.5177534248750182</v>
      </c>
      <c r="I247" s="279"/>
      <c r="J247" s="278">
        <v>0.56953723649932775</v>
      </c>
      <c r="K247" s="278">
        <v>0.80028005467424301</v>
      </c>
      <c r="L247" s="278">
        <f>SUM(J247:K247)</f>
        <v>1.3698172911735709</v>
      </c>
      <c r="M247" s="212"/>
      <c r="N247" s="212"/>
    </row>
    <row r="248" spans="1:14">
      <c r="A248" s="213" t="str">
        <f>name!E$5</f>
        <v>Professional occupations</v>
      </c>
      <c r="B248" s="278">
        <v>0.58538028796586805</v>
      </c>
      <c r="C248" s="278">
        <v>1.2576820497066714</v>
      </c>
      <c r="D248" s="278">
        <f t="shared" ref="D248:D255" si="79">SUM(B248:C248)</f>
        <v>1.8430623376725395</v>
      </c>
      <c r="E248" s="279"/>
      <c r="F248" s="278">
        <v>0.7624803681005069</v>
      </c>
      <c r="G248" s="278">
        <v>1.3808537621811496</v>
      </c>
      <c r="H248" s="278">
        <f t="shared" ref="H248:H255" si="80">SUM(F248:G248)</f>
        <v>2.1433341302816564</v>
      </c>
      <c r="I248" s="279"/>
      <c r="J248" s="278">
        <v>0.91138738027038269</v>
      </c>
      <c r="K248" s="278">
        <v>1.5512368155025209</v>
      </c>
      <c r="L248" s="278">
        <f t="shared" ref="L248:L255" si="81">SUM(J248:K248)</f>
        <v>2.4626241957729036</v>
      </c>
      <c r="M248" s="212"/>
      <c r="N248" s="212"/>
    </row>
    <row r="249" spans="1:14">
      <c r="A249" s="213" t="str">
        <f>name!E$6</f>
        <v>Associate professional occupations</v>
      </c>
      <c r="B249" s="278">
        <v>0.96042498527834086</v>
      </c>
      <c r="C249" s="278">
        <v>1.3697978037289291</v>
      </c>
      <c r="D249" s="278">
        <f t="shared" si="79"/>
        <v>2.3302227890072702</v>
      </c>
      <c r="E249" s="279"/>
      <c r="F249" s="278">
        <v>1.0019159067398218</v>
      </c>
      <c r="G249" s="278">
        <v>1.4303128023893388</v>
      </c>
      <c r="H249" s="278">
        <f t="shared" si="80"/>
        <v>2.4322287091291606</v>
      </c>
      <c r="I249" s="279"/>
      <c r="J249" s="278">
        <v>1.0340863003561114</v>
      </c>
      <c r="K249" s="278">
        <v>1.2557818783785648</v>
      </c>
      <c r="L249" s="278">
        <f t="shared" si="81"/>
        <v>2.2898681787346762</v>
      </c>
      <c r="M249" s="212"/>
      <c r="N249" s="212"/>
    </row>
    <row r="250" spans="1:14">
      <c r="A250" s="213" t="str">
        <f>name!E$7</f>
        <v>Administrative and secretarial occupations</v>
      </c>
      <c r="B250" s="278">
        <v>2.2987902635167177</v>
      </c>
      <c r="C250" s="278">
        <v>0.93040813630196473</v>
      </c>
      <c r="D250" s="278">
        <f t="shared" si="79"/>
        <v>3.2291983998186824</v>
      </c>
      <c r="E250" s="279"/>
      <c r="F250" s="278">
        <v>2.117381104078325</v>
      </c>
      <c r="G250" s="278">
        <v>0.99279627329098241</v>
      </c>
      <c r="H250" s="278">
        <f t="shared" si="80"/>
        <v>3.1101773773693075</v>
      </c>
      <c r="I250" s="279"/>
      <c r="J250" s="278">
        <v>1.6689385533535255</v>
      </c>
      <c r="K250" s="278">
        <v>1.0336426206415106</v>
      </c>
      <c r="L250" s="278">
        <f t="shared" si="81"/>
        <v>2.7025811739950361</v>
      </c>
      <c r="M250" s="212"/>
      <c r="N250" s="212"/>
    </row>
    <row r="251" spans="1:14">
      <c r="A251" s="213" t="str">
        <f>name!E$8</f>
        <v>Skilled trades occupations</v>
      </c>
      <c r="B251" s="278">
        <v>2.9958859298349624E-2</v>
      </c>
      <c r="C251" s="278">
        <v>9.6445884949634103E-2</v>
      </c>
      <c r="D251" s="278">
        <f t="shared" si="79"/>
        <v>0.12640474424798373</v>
      </c>
      <c r="E251" s="279"/>
      <c r="F251" s="278">
        <v>2.5517330689024852E-2</v>
      </c>
      <c r="G251" s="278">
        <v>7.3466642162642606E-2</v>
      </c>
      <c r="H251" s="278">
        <f t="shared" si="80"/>
        <v>9.8983972851667462E-2</v>
      </c>
      <c r="I251" s="279"/>
      <c r="J251" s="278">
        <v>2.9417122982650902E-2</v>
      </c>
      <c r="K251" s="278">
        <v>5.7170142018802793E-2</v>
      </c>
      <c r="L251" s="278">
        <f t="shared" si="81"/>
        <v>8.6587265001453695E-2</v>
      </c>
      <c r="M251" s="212"/>
      <c r="N251" s="212"/>
    </row>
    <row r="252" spans="1:14">
      <c r="A252" s="213" t="str">
        <f>name!E$9</f>
        <v>Caring, leisure and other service occupations</v>
      </c>
      <c r="B252" s="278">
        <v>6.5923470267063897E-2</v>
      </c>
      <c r="C252" s="278">
        <v>3.244281758408947E-2</v>
      </c>
      <c r="D252" s="278">
        <f t="shared" si="79"/>
        <v>9.8366287851153367E-2</v>
      </c>
      <c r="E252" s="279"/>
      <c r="F252" s="278">
        <v>4.7450515369539245E-2</v>
      </c>
      <c r="G252" s="278">
        <v>3.6407905473269365E-2</v>
      </c>
      <c r="H252" s="278">
        <f t="shared" si="80"/>
        <v>8.3858420842808618E-2</v>
      </c>
      <c r="I252" s="279"/>
      <c r="J252" s="278">
        <v>5.6162569785114941E-2</v>
      </c>
      <c r="K252" s="278">
        <v>4.0592115116342184E-2</v>
      </c>
      <c r="L252" s="278">
        <f t="shared" si="81"/>
        <v>9.6754684901457125E-2</v>
      </c>
      <c r="M252" s="212"/>
      <c r="N252" s="212"/>
    </row>
    <row r="253" spans="1:14">
      <c r="A253" s="213" t="str">
        <f>name!E$10</f>
        <v>Sales and customer service occupations</v>
      </c>
      <c r="B253" s="278">
        <v>0.61550612215626643</v>
      </c>
      <c r="C253" s="278">
        <v>0.33979699242008948</v>
      </c>
      <c r="D253" s="278">
        <f t="shared" si="79"/>
        <v>0.95530311457635597</v>
      </c>
      <c r="E253" s="279"/>
      <c r="F253" s="278">
        <v>0.53619265535053207</v>
      </c>
      <c r="G253" s="278">
        <v>0.32978428369634682</v>
      </c>
      <c r="H253" s="278">
        <f t="shared" si="80"/>
        <v>0.86597693904687889</v>
      </c>
      <c r="I253" s="279"/>
      <c r="J253" s="278">
        <v>0.49051221599092804</v>
      </c>
      <c r="K253" s="278">
        <v>0.3597367190699412</v>
      </c>
      <c r="L253" s="278">
        <f t="shared" si="81"/>
        <v>0.85024893506086929</v>
      </c>
      <c r="M253" s="212"/>
      <c r="N253" s="212"/>
    </row>
    <row r="254" spans="1:14">
      <c r="A254" s="213" t="str">
        <f>name!E$11</f>
        <v>Process, plant and machine operatives</v>
      </c>
      <c r="B254" s="278">
        <v>1.3298137877930416E-2</v>
      </c>
      <c r="C254" s="278">
        <v>5.7984000243045404E-2</v>
      </c>
      <c r="D254" s="278">
        <f t="shared" si="79"/>
        <v>7.1282138120975821E-2</v>
      </c>
      <c r="E254" s="279"/>
      <c r="F254" s="278">
        <v>8.7522119440193447E-3</v>
      </c>
      <c r="G254" s="278">
        <v>6.7826605567463033E-2</v>
      </c>
      <c r="H254" s="278">
        <f t="shared" si="80"/>
        <v>7.6578817511482378E-2</v>
      </c>
      <c r="I254" s="279"/>
      <c r="J254" s="278">
        <v>1.2254322326370796E-2</v>
      </c>
      <c r="K254" s="278">
        <v>7.8876101189305464E-2</v>
      </c>
      <c r="L254" s="278">
        <f t="shared" si="81"/>
        <v>9.1130423515676268E-2</v>
      </c>
      <c r="M254" s="212"/>
      <c r="N254" s="212"/>
    </row>
    <row r="255" spans="1:14">
      <c r="A255" s="213" t="str">
        <f>name!E$12</f>
        <v>Elementary occupations</v>
      </c>
      <c r="B255" s="278">
        <v>9.964345918536989E-2</v>
      </c>
      <c r="C255" s="278">
        <v>7.650007181402195E-2</v>
      </c>
      <c r="D255" s="278">
        <f t="shared" si="79"/>
        <v>0.17614353099939184</v>
      </c>
      <c r="E255" s="279"/>
      <c r="F255" s="278">
        <v>4.8405334322527402E-2</v>
      </c>
      <c r="G255" s="278">
        <v>6.3702873769487633E-2</v>
      </c>
      <c r="H255" s="278">
        <f t="shared" si="80"/>
        <v>0.11210820809201504</v>
      </c>
      <c r="I255" s="279"/>
      <c r="J255" s="278">
        <v>4.954178667587756E-2</v>
      </c>
      <c r="K255" s="278">
        <v>5.4846065168480659E-2</v>
      </c>
      <c r="L255" s="278">
        <f t="shared" si="81"/>
        <v>0.10438785184435823</v>
      </c>
      <c r="M255" s="212"/>
      <c r="N255" s="212"/>
    </row>
    <row r="256" spans="1:14">
      <c r="A256" s="213"/>
      <c r="B256" s="278"/>
      <c r="C256" s="278"/>
      <c r="D256" s="278"/>
      <c r="E256" s="279"/>
      <c r="F256" s="278"/>
      <c r="G256" s="278"/>
      <c r="H256" s="278"/>
      <c r="I256" s="279"/>
      <c r="J256" s="278"/>
      <c r="K256" s="278"/>
      <c r="L256" s="278"/>
      <c r="M256" s="212"/>
      <c r="N256" s="212"/>
    </row>
    <row r="257" spans="1:14">
      <c r="A257" s="220" t="s">
        <v>117</v>
      </c>
      <c r="B257" s="282">
        <f>SUM(B247:B255)</f>
        <v>5.1181621602302316</v>
      </c>
      <c r="C257" s="282">
        <f t="shared" ref="C257:D257" si="82">SUM(C247:C255)</f>
        <v>5.1008378397697989</v>
      </c>
      <c r="D257" s="282">
        <f t="shared" si="82"/>
        <v>10.21900000000003</v>
      </c>
      <c r="E257" s="282"/>
      <c r="F257" s="282">
        <f t="shared" ref="F257:H257" si="83">SUM(F247:F255)</f>
        <v>5.0891927063569158</v>
      </c>
      <c r="G257" s="282">
        <f t="shared" si="83"/>
        <v>5.3518072936430796</v>
      </c>
      <c r="H257" s="282">
        <f t="shared" si="83"/>
        <v>10.440999999999997</v>
      </c>
      <c r="I257" s="282"/>
      <c r="J257" s="282">
        <f t="shared" ref="J257:L257" si="84">SUM(J247:J255)</f>
        <v>4.8218374882402895</v>
      </c>
      <c r="K257" s="282">
        <f t="shared" si="84"/>
        <v>5.2321625117597117</v>
      </c>
      <c r="L257" s="282">
        <f t="shared" si="84"/>
        <v>10.053999999999998</v>
      </c>
      <c r="M257" s="212"/>
      <c r="N257" s="212"/>
    </row>
    <row r="258" spans="1:14">
      <c r="A258" s="213"/>
      <c r="B258" s="213"/>
      <c r="C258" s="213"/>
      <c r="D258" s="213"/>
      <c r="E258" s="213"/>
      <c r="F258" s="213"/>
      <c r="G258" s="213"/>
      <c r="H258" s="213"/>
      <c r="I258" s="213"/>
      <c r="J258" s="213"/>
      <c r="K258" s="213"/>
      <c r="L258" s="216"/>
      <c r="M258" s="212"/>
      <c r="N258" s="212"/>
    </row>
    <row r="259" spans="1:14">
      <c r="A259" s="213"/>
      <c r="B259" s="213"/>
      <c r="C259" s="213"/>
      <c r="D259" s="213"/>
      <c r="E259" s="213"/>
      <c r="F259" s="213"/>
      <c r="G259" s="213"/>
      <c r="H259" s="213"/>
      <c r="I259" s="213"/>
      <c r="J259" s="213"/>
      <c r="K259" s="213"/>
      <c r="L259" s="232" t="s">
        <v>112</v>
      </c>
      <c r="M259" s="212"/>
      <c r="N259" s="212"/>
    </row>
    <row r="260" spans="1:14">
      <c r="A260" s="218"/>
      <c r="B260" s="226"/>
      <c r="C260" s="226"/>
      <c r="D260" s="226"/>
      <c r="E260" s="226"/>
      <c r="F260" s="226"/>
      <c r="G260" s="226"/>
      <c r="H260" s="226"/>
      <c r="I260" s="226"/>
      <c r="J260" s="226"/>
      <c r="K260" s="226"/>
      <c r="L260" s="212"/>
      <c r="M260" s="212"/>
      <c r="N260" s="212"/>
    </row>
    <row r="261" spans="1:14">
      <c r="A261" s="217" t="str">
        <f>name!B18</f>
        <v>Real estate</v>
      </c>
      <c r="B261" s="347">
        <f>B$6</f>
        <v>2015</v>
      </c>
      <c r="C261" s="347"/>
      <c r="D261" s="347"/>
      <c r="E261" s="229"/>
      <c r="F261" s="347">
        <f>F244</f>
        <v>2020</v>
      </c>
      <c r="G261" s="347"/>
      <c r="H261" s="347"/>
      <c r="I261" s="229"/>
      <c r="J261" s="347">
        <f>J244</f>
        <v>2035</v>
      </c>
      <c r="K261" s="347"/>
      <c r="L261" s="347"/>
      <c r="M261" s="212"/>
      <c r="N261" s="212"/>
    </row>
    <row r="262" spans="1:14">
      <c r="A262" s="230"/>
      <c r="B262" s="231" t="s">
        <v>154</v>
      </c>
      <c r="C262" s="231" t="s">
        <v>155</v>
      </c>
      <c r="D262" s="231" t="s">
        <v>117</v>
      </c>
      <c r="E262" s="231"/>
      <c r="F262" s="231" t="s">
        <v>154</v>
      </c>
      <c r="G262" s="231" t="s">
        <v>155</v>
      </c>
      <c r="H262" s="231" t="s">
        <v>117</v>
      </c>
      <c r="I262" s="231"/>
      <c r="J262" s="231" t="s">
        <v>154</v>
      </c>
      <c r="K262" s="231" t="s">
        <v>155</v>
      </c>
      <c r="L262" s="231" t="s">
        <v>117</v>
      </c>
      <c r="M262" s="212"/>
      <c r="N262" s="212"/>
    </row>
    <row r="263" spans="1:14">
      <c r="A263" s="234"/>
      <c r="B263" s="235"/>
      <c r="C263" s="235"/>
      <c r="D263" s="235"/>
      <c r="E263" s="235"/>
      <c r="F263" s="235"/>
      <c r="G263" s="235"/>
      <c r="H263" s="235"/>
      <c r="I263" s="235"/>
      <c r="J263" s="235"/>
      <c r="K263" s="235"/>
      <c r="L263" s="235"/>
      <c r="M263" s="212"/>
      <c r="N263" s="212"/>
    </row>
    <row r="264" spans="1:14">
      <c r="A264" s="213" t="str">
        <f>name!E$4</f>
        <v>Managers, directors and senior officials</v>
      </c>
      <c r="B264" s="278">
        <v>0.42877600162331747</v>
      </c>
      <c r="C264" s="278">
        <v>0.62446810007136355</v>
      </c>
      <c r="D264" s="278">
        <f>SUM(B264:C264)</f>
        <v>1.053244101694681</v>
      </c>
      <c r="E264" s="279"/>
      <c r="F264" s="278">
        <v>0.56192446300853627</v>
      </c>
      <c r="G264" s="278">
        <v>1.1023423442945259</v>
      </c>
      <c r="H264" s="278">
        <f>SUM(F264:G264)</f>
        <v>1.6642668073030622</v>
      </c>
      <c r="I264" s="279"/>
      <c r="J264" s="278">
        <v>0.59916217440131658</v>
      </c>
      <c r="K264" s="278">
        <v>1.1746308310949147</v>
      </c>
      <c r="L264" s="278">
        <f>SUM(J264:K264)</f>
        <v>1.7737930054962314</v>
      </c>
      <c r="M264" s="212"/>
      <c r="N264" s="212"/>
    </row>
    <row r="265" spans="1:14">
      <c r="A265" s="213" t="str">
        <f>name!E$5</f>
        <v>Professional occupations</v>
      </c>
      <c r="B265" s="278">
        <v>0.56235235681876683</v>
      </c>
      <c r="C265" s="278">
        <v>0.53117653873774784</v>
      </c>
      <c r="D265" s="278">
        <f t="shared" ref="D265:D272" si="85">SUM(B265:C265)</f>
        <v>1.0935288955565148</v>
      </c>
      <c r="E265" s="279"/>
      <c r="F265" s="278">
        <v>0.76257067952590596</v>
      </c>
      <c r="G265" s="278">
        <v>1.0024773138667</v>
      </c>
      <c r="H265" s="278">
        <f t="shared" ref="H265:H272" si="86">SUM(F265:G265)</f>
        <v>1.765047993392606</v>
      </c>
      <c r="I265" s="279"/>
      <c r="J265" s="278">
        <v>0.90767434217349463</v>
      </c>
      <c r="K265" s="278">
        <v>1.2411965449885622</v>
      </c>
      <c r="L265" s="278">
        <f t="shared" ref="L265:L272" si="87">SUM(J265:K265)</f>
        <v>2.1488708871620568</v>
      </c>
      <c r="M265" s="212"/>
      <c r="N265" s="212"/>
    </row>
    <row r="266" spans="1:14">
      <c r="A266" s="213" t="str">
        <f>name!E$6</f>
        <v>Associate professional occupations</v>
      </c>
      <c r="B266" s="278">
        <v>0.57800049830467004</v>
      </c>
      <c r="C266" s="278">
        <v>0.57482117159379609</v>
      </c>
      <c r="D266" s="278">
        <f t="shared" si="85"/>
        <v>1.1528216698984661</v>
      </c>
      <c r="E266" s="279"/>
      <c r="F266" s="278">
        <v>0.74069715977790584</v>
      </c>
      <c r="G266" s="278">
        <v>1.0021234341713661</v>
      </c>
      <c r="H266" s="278">
        <f t="shared" si="86"/>
        <v>1.742820593949272</v>
      </c>
      <c r="I266" s="279"/>
      <c r="J266" s="278">
        <v>1.0631146812416026</v>
      </c>
      <c r="K266" s="278">
        <v>1.0766507779928522</v>
      </c>
      <c r="L266" s="278">
        <f t="shared" si="87"/>
        <v>2.1397654592344546</v>
      </c>
      <c r="M266" s="212"/>
      <c r="N266" s="212"/>
    </row>
    <row r="267" spans="1:14">
      <c r="A267" s="213" t="str">
        <f>name!E$7</f>
        <v>Administrative and secretarial occupations</v>
      </c>
      <c r="B267" s="278">
        <v>1.5679943109614098</v>
      </c>
      <c r="C267" s="278">
        <v>0.25334283927184537</v>
      </c>
      <c r="D267" s="278">
        <f t="shared" si="85"/>
        <v>1.8213371502332552</v>
      </c>
      <c r="E267" s="279"/>
      <c r="F267" s="278">
        <v>1.6842570041084666</v>
      </c>
      <c r="G267" s="278">
        <v>0.42617708892184264</v>
      </c>
      <c r="H267" s="278">
        <f t="shared" si="86"/>
        <v>2.1104340930303094</v>
      </c>
      <c r="I267" s="279"/>
      <c r="J267" s="278">
        <v>1.4476884987478789</v>
      </c>
      <c r="K267" s="278">
        <v>0.46922565554408591</v>
      </c>
      <c r="L267" s="278">
        <f t="shared" si="87"/>
        <v>1.9169141542919648</v>
      </c>
      <c r="M267" s="212"/>
      <c r="N267" s="212"/>
    </row>
    <row r="268" spans="1:14">
      <c r="A268" s="213" t="str">
        <f>name!E$8</f>
        <v>Skilled trades occupations</v>
      </c>
      <c r="B268" s="278">
        <v>7.0368075238595923E-2</v>
      </c>
      <c r="C268" s="278">
        <v>0.40327044272805146</v>
      </c>
      <c r="D268" s="278">
        <f t="shared" si="85"/>
        <v>0.47363851796664735</v>
      </c>
      <c r="E268" s="279"/>
      <c r="F268" s="278">
        <v>0.1054354179173794</v>
      </c>
      <c r="G268" s="278">
        <v>0.37320703670385474</v>
      </c>
      <c r="H268" s="278">
        <f t="shared" si="86"/>
        <v>0.47864245462123411</v>
      </c>
      <c r="I268" s="279"/>
      <c r="J268" s="278">
        <v>0.16942196184812947</v>
      </c>
      <c r="K268" s="278">
        <v>0.39659778353686825</v>
      </c>
      <c r="L268" s="278">
        <f t="shared" si="87"/>
        <v>0.56601974538499777</v>
      </c>
      <c r="M268" s="212"/>
      <c r="N268" s="212"/>
    </row>
    <row r="269" spans="1:14">
      <c r="A269" s="213" t="str">
        <f>name!E$9</f>
        <v>Caring, leisure and other service occupations</v>
      </c>
      <c r="B269" s="278">
        <v>0.19783120943814872</v>
      </c>
      <c r="C269" s="278">
        <v>9.9578445175285676E-2</v>
      </c>
      <c r="D269" s="278">
        <f t="shared" si="85"/>
        <v>0.29740965461343438</v>
      </c>
      <c r="E269" s="279"/>
      <c r="F269" s="278">
        <v>0.20619876524856715</v>
      </c>
      <c r="G269" s="278">
        <v>0.15192335826262518</v>
      </c>
      <c r="H269" s="278">
        <f t="shared" si="86"/>
        <v>0.35812212351119233</v>
      </c>
      <c r="I269" s="279"/>
      <c r="J269" s="278">
        <v>0.2477109739385184</v>
      </c>
      <c r="K269" s="278">
        <v>0.18297562863421038</v>
      </c>
      <c r="L269" s="278">
        <f t="shared" si="87"/>
        <v>0.43068660257272878</v>
      </c>
      <c r="M269" s="212"/>
      <c r="N269" s="212"/>
    </row>
    <row r="270" spans="1:14">
      <c r="A270" s="213" t="str">
        <f>name!E$10</f>
        <v>Sales and customer service occupations</v>
      </c>
      <c r="B270" s="278">
        <v>0.74240838647093321</v>
      </c>
      <c r="C270" s="278">
        <v>0.40593960718906896</v>
      </c>
      <c r="D270" s="278">
        <f t="shared" si="85"/>
        <v>1.1483479936600021</v>
      </c>
      <c r="E270" s="279"/>
      <c r="F270" s="278">
        <v>0.73203358287271525</v>
      </c>
      <c r="G270" s="278">
        <v>0.62741408744031557</v>
      </c>
      <c r="H270" s="278">
        <f t="shared" si="86"/>
        <v>1.3594476703130307</v>
      </c>
      <c r="I270" s="279"/>
      <c r="J270" s="278">
        <v>0.81583385825099075</v>
      </c>
      <c r="K270" s="278">
        <v>0.64747217513256627</v>
      </c>
      <c r="L270" s="278">
        <f t="shared" si="87"/>
        <v>1.463306033383557</v>
      </c>
      <c r="M270" s="212"/>
      <c r="N270" s="212"/>
    </row>
    <row r="271" spans="1:14">
      <c r="A271" s="213" t="str">
        <f>name!E$11</f>
        <v>Process, plant and machine operatives</v>
      </c>
      <c r="B271" s="278">
        <v>1.1781144088614449E-2</v>
      </c>
      <c r="C271" s="278">
        <v>9.0899896975963998E-2</v>
      </c>
      <c r="D271" s="278">
        <f t="shared" si="85"/>
        <v>0.10268104106457845</v>
      </c>
      <c r="E271" s="279"/>
      <c r="F271" s="278">
        <v>1.3012440523580956E-2</v>
      </c>
      <c r="G271" s="278">
        <v>0.11790175593117848</v>
      </c>
      <c r="H271" s="278">
        <f t="shared" si="86"/>
        <v>0.13091419645475944</v>
      </c>
      <c r="I271" s="279"/>
      <c r="J271" s="278">
        <v>2.1912610111538715E-2</v>
      </c>
      <c r="K271" s="278">
        <v>0.10011623305935959</v>
      </c>
      <c r="L271" s="278">
        <f t="shared" si="87"/>
        <v>0.12202884317089829</v>
      </c>
      <c r="M271" s="212"/>
      <c r="N271" s="212"/>
    </row>
    <row r="272" spans="1:14">
      <c r="A272" s="213" t="str">
        <f>name!E$12</f>
        <v>Elementary occupations</v>
      </c>
      <c r="B272" s="278">
        <v>0.42129215053483837</v>
      </c>
      <c r="C272" s="278">
        <v>0.15869882477758795</v>
      </c>
      <c r="D272" s="278">
        <f t="shared" si="85"/>
        <v>0.57999097531242638</v>
      </c>
      <c r="E272" s="279"/>
      <c r="F272" s="278">
        <v>0.44188307673868071</v>
      </c>
      <c r="G272" s="278">
        <v>0.18842099068585302</v>
      </c>
      <c r="H272" s="278">
        <f t="shared" si="86"/>
        <v>0.63030406742453371</v>
      </c>
      <c r="I272" s="279"/>
      <c r="J272" s="278">
        <v>0.44823419733346548</v>
      </c>
      <c r="K272" s="278">
        <v>0.2283810719696541</v>
      </c>
      <c r="L272" s="278">
        <f t="shared" si="87"/>
        <v>0.67661526930311955</v>
      </c>
      <c r="M272" s="212"/>
      <c r="N272" s="212"/>
    </row>
    <row r="273" spans="1:14">
      <c r="A273" s="213"/>
      <c r="B273" s="278"/>
      <c r="C273" s="278"/>
      <c r="D273" s="278"/>
      <c r="E273" s="279"/>
      <c r="F273" s="278"/>
      <c r="G273" s="278"/>
      <c r="H273" s="278"/>
      <c r="I273" s="279"/>
      <c r="J273" s="278"/>
      <c r="K273" s="278"/>
      <c r="L273" s="278"/>
      <c r="M273" s="212"/>
      <c r="N273" s="212"/>
    </row>
    <row r="274" spans="1:14">
      <c r="A274" s="220" t="s">
        <v>117</v>
      </c>
      <c r="B274" s="282">
        <f>SUM(B264:B272)</f>
        <v>4.5808041334792957</v>
      </c>
      <c r="C274" s="282">
        <f t="shared" ref="C274:D274" si="88">SUM(C264:C272)</f>
        <v>3.1421958665207108</v>
      </c>
      <c r="D274" s="282">
        <f t="shared" si="88"/>
        <v>7.7230000000000061</v>
      </c>
      <c r="E274" s="282"/>
      <c r="F274" s="282">
        <f t="shared" ref="F274:H274" si="89">SUM(F264:F272)</f>
        <v>5.2480125897217382</v>
      </c>
      <c r="G274" s="282">
        <f t="shared" si="89"/>
        <v>4.991987410278262</v>
      </c>
      <c r="H274" s="282">
        <f t="shared" si="89"/>
        <v>10.24</v>
      </c>
      <c r="I274" s="282"/>
      <c r="J274" s="282">
        <f t="shared" ref="J274:L274" si="90">SUM(J264:J272)</f>
        <v>5.7207532980469358</v>
      </c>
      <c r="K274" s="282">
        <f t="shared" si="90"/>
        <v>5.5172467019530727</v>
      </c>
      <c r="L274" s="282">
        <f t="shared" si="90"/>
        <v>11.238000000000008</v>
      </c>
      <c r="M274" s="212"/>
      <c r="N274" s="212"/>
    </row>
    <row r="275" spans="1:14">
      <c r="A275" s="213"/>
      <c r="B275" s="213"/>
      <c r="C275" s="213"/>
      <c r="D275" s="213"/>
      <c r="E275" s="213"/>
      <c r="F275" s="213"/>
      <c r="G275" s="213"/>
      <c r="H275" s="213"/>
      <c r="I275" s="213"/>
      <c r="J275" s="213"/>
      <c r="K275" s="213"/>
      <c r="L275" s="216"/>
      <c r="M275" s="212"/>
      <c r="N275" s="212"/>
    </row>
    <row r="276" spans="1:14">
      <c r="A276" s="213"/>
      <c r="B276" s="213"/>
      <c r="C276" s="213"/>
      <c r="D276" s="213"/>
      <c r="E276" s="213"/>
      <c r="F276" s="213"/>
      <c r="G276" s="213"/>
      <c r="H276" s="213"/>
      <c r="I276" s="213"/>
      <c r="J276" s="213"/>
      <c r="K276" s="213"/>
      <c r="L276" s="232" t="s">
        <v>112</v>
      </c>
      <c r="M276" s="212"/>
      <c r="N276" s="212"/>
    </row>
    <row r="277" spans="1:14">
      <c r="A277" s="218"/>
      <c r="B277" s="226"/>
      <c r="C277" s="226"/>
      <c r="D277" s="226"/>
      <c r="E277" s="226"/>
      <c r="F277" s="226"/>
      <c r="G277" s="226"/>
      <c r="H277" s="226"/>
      <c r="I277" s="226"/>
      <c r="J277" s="226"/>
      <c r="K277" s="226"/>
      <c r="L277" s="212"/>
      <c r="M277" s="212"/>
      <c r="N277" s="212"/>
    </row>
    <row r="278" spans="1:14">
      <c r="A278" s="217" t="str">
        <f>name!B19</f>
        <v>Professional services</v>
      </c>
      <c r="B278" s="347">
        <f>B$6</f>
        <v>2015</v>
      </c>
      <c r="C278" s="347"/>
      <c r="D278" s="347"/>
      <c r="E278" s="229"/>
      <c r="F278" s="347">
        <f>F261</f>
        <v>2020</v>
      </c>
      <c r="G278" s="347"/>
      <c r="H278" s="347"/>
      <c r="I278" s="229"/>
      <c r="J278" s="347">
        <f>J261</f>
        <v>2035</v>
      </c>
      <c r="K278" s="347"/>
      <c r="L278" s="347"/>
      <c r="M278" s="212"/>
      <c r="N278" s="212"/>
    </row>
    <row r="279" spans="1:14">
      <c r="A279" s="230"/>
      <c r="B279" s="231" t="s">
        <v>154</v>
      </c>
      <c r="C279" s="231" t="s">
        <v>155</v>
      </c>
      <c r="D279" s="231" t="s">
        <v>117</v>
      </c>
      <c r="E279" s="231"/>
      <c r="F279" s="231" t="s">
        <v>154</v>
      </c>
      <c r="G279" s="231" t="s">
        <v>155</v>
      </c>
      <c r="H279" s="231" t="s">
        <v>117</v>
      </c>
      <c r="I279" s="231"/>
      <c r="J279" s="231" t="s">
        <v>154</v>
      </c>
      <c r="K279" s="231" t="s">
        <v>155</v>
      </c>
      <c r="L279" s="231" t="s">
        <v>117</v>
      </c>
      <c r="M279" s="212"/>
      <c r="N279" s="212"/>
    </row>
    <row r="280" spans="1:14">
      <c r="A280" s="234"/>
      <c r="B280" s="235"/>
      <c r="C280" s="235"/>
      <c r="D280" s="235"/>
      <c r="E280" s="235"/>
      <c r="F280" s="235"/>
      <c r="G280" s="235"/>
      <c r="H280" s="235"/>
      <c r="I280" s="235"/>
      <c r="J280" s="235"/>
      <c r="K280" s="235"/>
      <c r="L280" s="235"/>
      <c r="M280" s="212"/>
      <c r="N280" s="212"/>
    </row>
    <row r="281" spans="1:14">
      <c r="A281" s="213" t="str">
        <f>name!E$4</f>
        <v>Managers, directors and senior officials</v>
      </c>
      <c r="B281" s="278">
        <v>1.0299649047342927</v>
      </c>
      <c r="C281" s="278">
        <v>2.1063453493078743</v>
      </c>
      <c r="D281" s="278">
        <f>SUM(B281:C281)</f>
        <v>3.1363102540421668</v>
      </c>
      <c r="E281" s="279"/>
      <c r="F281" s="278">
        <v>0.9165510874943541</v>
      </c>
      <c r="G281" s="278">
        <v>2.0037577151344581</v>
      </c>
      <c r="H281" s="278">
        <f>SUM(F281:G281)</f>
        <v>2.9203088026288122</v>
      </c>
      <c r="I281" s="279"/>
      <c r="J281" s="278">
        <v>1.0930813586043042</v>
      </c>
      <c r="K281" s="278">
        <v>1.9445730158325476</v>
      </c>
      <c r="L281" s="278">
        <f>SUM(J281:K281)</f>
        <v>3.037654374436852</v>
      </c>
      <c r="M281" s="212"/>
      <c r="N281" s="212"/>
    </row>
    <row r="282" spans="1:14">
      <c r="A282" s="213" t="str">
        <f>name!E$5</f>
        <v>Professional occupations</v>
      </c>
      <c r="B282" s="278">
        <v>2.6403089277187792</v>
      </c>
      <c r="C282" s="278">
        <v>6.3965284852682673</v>
      </c>
      <c r="D282" s="278">
        <f t="shared" ref="D282:D289" si="91">SUM(B282:C282)</f>
        <v>9.0368374129870475</v>
      </c>
      <c r="E282" s="279"/>
      <c r="F282" s="278">
        <v>2.4550607686124453</v>
      </c>
      <c r="G282" s="278">
        <v>6.8367617317727074</v>
      </c>
      <c r="H282" s="278">
        <f t="shared" ref="H282:H289" si="92">SUM(F282:G282)</f>
        <v>9.2918225003851518</v>
      </c>
      <c r="I282" s="279"/>
      <c r="J282" s="278">
        <v>3.2453068353255556</v>
      </c>
      <c r="K282" s="278">
        <v>7.491956177700267</v>
      </c>
      <c r="L282" s="278">
        <f t="shared" ref="L282:L289" si="93">SUM(J282:K282)</f>
        <v>10.737263013025823</v>
      </c>
      <c r="M282" s="212"/>
      <c r="N282" s="212"/>
    </row>
    <row r="283" spans="1:14">
      <c r="A283" s="213" t="str">
        <f>name!E$6</f>
        <v>Associate professional occupations</v>
      </c>
      <c r="B283" s="278">
        <v>2.0890630432616311</v>
      </c>
      <c r="C283" s="278">
        <v>3.1369668354053837</v>
      </c>
      <c r="D283" s="278">
        <f t="shared" si="91"/>
        <v>5.2260298786670152</v>
      </c>
      <c r="E283" s="279"/>
      <c r="F283" s="278">
        <v>1.5937473399576221</v>
      </c>
      <c r="G283" s="278">
        <v>3.0170219244736036</v>
      </c>
      <c r="H283" s="278">
        <f t="shared" si="92"/>
        <v>4.6107692644312257</v>
      </c>
      <c r="I283" s="279"/>
      <c r="J283" s="278">
        <v>2.0776944187993514</v>
      </c>
      <c r="K283" s="278">
        <v>2.9613697742898282</v>
      </c>
      <c r="L283" s="278">
        <f t="shared" si="93"/>
        <v>5.03906419308918</v>
      </c>
      <c r="M283" s="212"/>
      <c r="N283" s="212"/>
    </row>
    <row r="284" spans="1:14">
      <c r="A284" s="213" t="str">
        <f>name!E$7</f>
        <v>Administrative and secretarial occupations</v>
      </c>
      <c r="B284" s="278">
        <v>5.0091240686682665</v>
      </c>
      <c r="C284" s="278">
        <v>2.0249624509665849</v>
      </c>
      <c r="D284" s="278">
        <f t="shared" si="91"/>
        <v>7.034086519634851</v>
      </c>
      <c r="E284" s="279"/>
      <c r="F284" s="278">
        <v>3.3252651244431664</v>
      </c>
      <c r="G284" s="278">
        <v>1.6773284689778905</v>
      </c>
      <c r="H284" s="278">
        <f t="shared" si="92"/>
        <v>5.0025935934210572</v>
      </c>
      <c r="I284" s="279"/>
      <c r="J284" s="278">
        <v>2.7839538280949543</v>
      </c>
      <c r="K284" s="278">
        <v>2.1320861393571748</v>
      </c>
      <c r="L284" s="278">
        <f t="shared" si="93"/>
        <v>4.9160399674521287</v>
      </c>
      <c r="M284" s="212"/>
      <c r="N284" s="212"/>
    </row>
    <row r="285" spans="1:14">
      <c r="A285" s="213" t="str">
        <f>name!E$8</f>
        <v>Skilled trades occupations</v>
      </c>
      <c r="B285" s="278">
        <v>0.10517966651811606</v>
      </c>
      <c r="C285" s="278">
        <v>0.54794645687254417</v>
      </c>
      <c r="D285" s="278">
        <f t="shared" si="91"/>
        <v>0.65312612339066023</v>
      </c>
      <c r="E285" s="279"/>
      <c r="F285" s="278">
        <v>7.2236051242337132E-2</v>
      </c>
      <c r="G285" s="278">
        <v>0.35672272522157283</v>
      </c>
      <c r="H285" s="278">
        <f t="shared" si="92"/>
        <v>0.42895877646390995</v>
      </c>
      <c r="I285" s="279"/>
      <c r="J285" s="278">
        <v>0.11800825385270963</v>
      </c>
      <c r="K285" s="278">
        <v>0.28351443729298387</v>
      </c>
      <c r="L285" s="278">
        <f t="shared" si="93"/>
        <v>0.4015226911456935</v>
      </c>
      <c r="M285" s="212"/>
      <c r="N285" s="212"/>
    </row>
    <row r="286" spans="1:14">
      <c r="A286" s="213" t="str">
        <f>name!E$9</f>
        <v>Caring, leisure and other service occupations</v>
      </c>
      <c r="B286" s="278">
        <v>0.35597955583792446</v>
      </c>
      <c r="C286" s="278">
        <v>0.12537992471217144</v>
      </c>
      <c r="D286" s="278">
        <f t="shared" si="91"/>
        <v>0.48135948055009592</v>
      </c>
      <c r="E286" s="279"/>
      <c r="F286" s="278">
        <v>0.33568113138349071</v>
      </c>
      <c r="G286" s="278">
        <v>0.12820771828818625</v>
      </c>
      <c r="H286" s="278">
        <f t="shared" si="92"/>
        <v>0.46388884967167698</v>
      </c>
      <c r="I286" s="279"/>
      <c r="J286" s="278">
        <v>0.40744215670459366</v>
      </c>
      <c r="K286" s="278">
        <v>0.18094164402315777</v>
      </c>
      <c r="L286" s="278">
        <f t="shared" si="93"/>
        <v>0.58838380072775143</v>
      </c>
      <c r="M286" s="212"/>
      <c r="N286" s="212"/>
    </row>
    <row r="287" spans="1:14">
      <c r="A287" s="213" t="str">
        <f>name!E$10</f>
        <v>Sales and customer service occupations</v>
      </c>
      <c r="B287" s="278">
        <v>0.83410458920759034</v>
      </c>
      <c r="C287" s="278">
        <v>0.62011773118299718</v>
      </c>
      <c r="D287" s="278">
        <f t="shared" si="91"/>
        <v>1.4542223203905875</v>
      </c>
      <c r="E287" s="279"/>
      <c r="F287" s="278">
        <v>0.53300785763828373</v>
      </c>
      <c r="G287" s="278">
        <v>0.46472688991366295</v>
      </c>
      <c r="H287" s="278">
        <f t="shared" si="92"/>
        <v>0.99773474755194669</v>
      </c>
      <c r="I287" s="279"/>
      <c r="J287" s="278">
        <v>0.55918064973679282</v>
      </c>
      <c r="K287" s="278">
        <v>0.56243304000056948</v>
      </c>
      <c r="L287" s="278">
        <f t="shared" si="93"/>
        <v>1.1216136897373623</v>
      </c>
      <c r="M287" s="212"/>
      <c r="N287" s="212"/>
    </row>
    <row r="288" spans="1:14">
      <c r="A288" s="213" t="str">
        <f>name!E$11</f>
        <v>Process, plant and machine operatives</v>
      </c>
      <c r="B288" s="278">
        <v>4.6874833260913427E-2</v>
      </c>
      <c r="C288" s="278">
        <v>0.31561779310299637</v>
      </c>
      <c r="D288" s="278">
        <f t="shared" si="91"/>
        <v>0.36249262636390978</v>
      </c>
      <c r="E288" s="279"/>
      <c r="F288" s="278">
        <v>2.6545350844215315E-2</v>
      </c>
      <c r="G288" s="278">
        <v>0.22007657028759076</v>
      </c>
      <c r="H288" s="278">
        <f t="shared" si="92"/>
        <v>0.24662192113180606</v>
      </c>
      <c r="I288" s="279"/>
      <c r="J288" s="278">
        <v>3.8309820839370762E-2</v>
      </c>
      <c r="K288" s="278">
        <v>0.18878166901108259</v>
      </c>
      <c r="L288" s="278">
        <f t="shared" si="93"/>
        <v>0.22709148985045335</v>
      </c>
      <c r="M288" s="212"/>
      <c r="N288" s="212"/>
    </row>
    <row r="289" spans="1:14">
      <c r="A289" s="213" t="str">
        <f>name!E$12</f>
        <v>Elementary occupations</v>
      </c>
      <c r="B289" s="278">
        <v>0.71641523552553432</v>
      </c>
      <c r="C289" s="278">
        <v>0.49112014844811491</v>
      </c>
      <c r="D289" s="278">
        <f t="shared" si="91"/>
        <v>1.2075353839736493</v>
      </c>
      <c r="E289" s="279"/>
      <c r="F289" s="278">
        <v>0.40225439984375011</v>
      </c>
      <c r="G289" s="278">
        <v>0.36404714447063347</v>
      </c>
      <c r="H289" s="278">
        <f t="shared" si="92"/>
        <v>0.76630154431438358</v>
      </c>
      <c r="I289" s="279"/>
      <c r="J289" s="278">
        <v>0.4431604653360886</v>
      </c>
      <c r="K289" s="278">
        <v>0.38120631519871029</v>
      </c>
      <c r="L289" s="278">
        <f t="shared" si="93"/>
        <v>0.82436678053479895</v>
      </c>
      <c r="M289" s="212"/>
      <c r="N289" s="212"/>
    </row>
    <row r="290" spans="1:14">
      <c r="A290" s="213"/>
      <c r="B290" s="278"/>
      <c r="C290" s="278"/>
      <c r="D290" s="278"/>
      <c r="E290" s="279"/>
      <c r="F290" s="278"/>
      <c r="G290" s="278"/>
      <c r="H290" s="278"/>
      <c r="I290" s="279"/>
      <c r="J290" s="278"/>
      <c r="K290" s="278"/>
      <c r="L290" s="278"/>
      <c r="M290" s="212"/>
      <c r="N290" s="212"/>
    </row>
    <row r="291" spans="1:14">
      <c r="A291" s="220" t="s">
        <v>117</v>
      </c>
      <c r="B291" s="282">
        <f>SUM(B281:B289)</f>
        <v>12.82701482473305</v>
      </c>
      <c r="C291" s="282">
        <f t="shared" ref="C291:D291" si="94">SUM(C281:C289)</f>
        <v>15.764985175266936</v>
      </c>
      <c r="D291" s="282">
        <f t="shared" si="94"/>
        <v>28.591999999999985</v>
      </c>
      <c r="E291" s="282"/>
      <c r="F291" s="282">
        <f t="shared" ref="F291:H291" si="95">SUM(F281:F289)</f>
        <v>9.6603491114596629</v>
      </c>
      <c r="G291" s="282">
        <f t="shared" si="95"/>
        <v>15.068650888540306</v>
      </c>
      <c r="H291" s="282">
        <f t="shared" si="95"/>
        <v>24.728999999999967</v>
      </c>
      <c r="I291" s="282"/>
      <c r="J291" s="282">
        <f t="shared" ref="J291:L291" si="96">SUM(J281:J289)</f>
        <v>10.766137787293721</v>
      </c>
      <c r="K291" s="282">
        <f t="shared" si="96"/>
        <v>16.126862212706321</v>
      </c>
      <c r="L291" s="282">
        <f t="shared" si="96"/>
        <v>26.893000000000043</v>
      </c>
      <c r="M291" s="212"/>
      <c r="N291" s="212"/>
    </row>
    <row r="292" spans="1:14">
      <c r="A292" s="213"/>
      <c r="B292" s="213"/>
      <c r="C292" s="213"/>
      <c r="D292" s="213"/>
      <c r="E292" s="213"/>
      <c r="F292" s="213"/>
      <c r="G292" s="213"/>
      <c r="H292" s="213"/>
      <c r="I292" s="213"/>
      <c r="J292" s="213"/>
      <c r="K292" s="213"/>
      <c r="L292" s="216"/>
      <c r="M292" s="212"/>
      <c r="N292" s="212"/>
    </row>
    <row r="293" spans="1:14">
      <c r="A293" s="213"/>
      <c r="B293" s="213"/>
      <c r="C293" s="213"/>
      <c r="D293" s="213"/>
      <c r="E293" s="213"/>
      <c r="F293" s="213"/>
      <c r="G293" s="213"/>
      <c r="H293" s="213"/>
      <c r="I293" s="213"/>
      <c r="J293" s="213"/>
      <c r="K293" s="213"/>
      <c r="L293" s="232" t="s">
        <v>112</v>
      </c>
      <c r="M293" s="212"/>
      <c r="N293" s="212"/>
    </row>
    <row r="294" spans="1:14">
      <c r="A294" s="218"/>
      <c r="B294" s="226"/>
      <c r="C294" s="226"/>
      <c r="D294" s="226"/>
      <c r="E294" s="226"/>
      <c r="F294" s="226"/>
      <c r="G294" s="226"/>
      <c r="H294" s="226"/>
      <c r="I294" s="226"/>
      <c r="J294" s="226"/>
      <c r="K294" s="226"/>
      <c r="L294" s="212"/>
      <c r="M294" s="212"/>
      <c r="N294" s="212"/>
    </row>
    <row r="295" spans="1:14">
      <c r="A295" s="217" t="str">
        <f>name!B20</f>
        <v>Support services</v>
      </c>
      <c r="B295" s="347">
        <f>B$6</f>
        <v>2015</v>
      </c>
      <c r="C295" s="347"/>
      <c r="D295" s="347"/>
      <c r="E295" s="229"/>
      <c r="F295" s="347">
        <f>F278</f>
        <v>2020</v>
      </c>
      <c r="G295" s="347"/>
      <c r="H295" s="347"/>
      <c r="I295" s="229"/>
      <c r="J295" s="347">
        <f>J278</f>
        <v>2035</v>
      </c>
      <c r="K295" s="347"/>
      <c r="L295" s="347"/>
      <c r="M295" s="212"/>
      <c r="N295" s="212"/>
    </row>
    <row r="296" spans="1:14">
      <c r="A296" s="230"/>
      <c r="B296" s="231" t="s">
        <v>154</v>
      </c>
      <c r="C296" s="231" t="s">
        <v>155</v>
      </c>
      <c r="D296" s="231" t="s">
        <v>117</v>
      </c>
      <c r="E296" s="231"/>
      <c r="F296" s="231" t="s">
        <v>154</v>
      </c>
      <c r="G296" s="231" t="s">
        <v>155</v>
      </c>
      <c r="H296" s="231" t="s">
        <v>117</v>
      </c>
      <c r="I296" s="231"/>
      <c r="J296" s="231" t="s">
        <v>154</v>
      </c>
      <c r="K296" s="231" t="s">
        <v>155</v>
      </c>
      <c r="L296" s="231" t="s">
        <v>117</v>
      </c>
      <c r="M296" s="212"/>
      <c r="N296" s="212"/>
    </row>
    <row r="297" spans="1:14">
      <c r="A297" s="234"/>
      <c r="B297" s="235"/>
      <c r="C297" s="235"/>
      <c r="D297" s="235"/>
      <c r="E297" s="235"/>
      <c r="F297" s="235"/>
      <c r="G297" s="235"/>
      <c r="H297" s="235"/>
      <c r="I297" s="235"/>
      <c r="J297" s="235"/>
      <c r="K297" s="235"/>
      <c r="L297" s="235"/>
      <c r="M297" s="212"/>
      <c r="N297" s="212"/>
    </row>
    <row r="298" spans="1:14">
      <c r="A298" s="213" t="str">
        <f>name!E$4</f>
        <v>Managers, directors and senior officials</v>
      </c>
      <c r="B298" s="278">
        <v>0.89992048448443995</v>
      </c>
      <c r="C298" s="278">
        <v>1.9692828968543832</v>
      </c>
      <c r="D298" s="278">
        <f>SUM(B298:C298)</f>
        <v>2.8692033813388234</v>
      </c>
      <c r="E298" s="279"/>
      <c r="F298" s="278">
        <v>0.95197049577129789</v>
      </c>
      <c r="G298" s="278">
        <v>1.7228152864236299</v>
      </c>
      <c r="H298" s="278">
        <f>SUM(F298:G298)</f>
        <v>2.6747857821949279</v>
      </c>
      <c r="I298" s="279"/>
      <c r="J298" s="278">
        <v>1.0370182593152568</v>
      </c>
      <c r="K298" s="278">
        <v>1.6548304015520987</v>
      </c>
      <c r="L298" s="278">
        <f>SUM(J298:K298)</f>
        <v>2.6918486608673557</v>
      </c>
      <c r="M298" s="212"/>
      <c r="N298" s="212"/>
    </row>
    <row r="299" spans="1:14">
      <c r="A299" s="213" t="str">
        <f>name!E$5</f>
        <v>Professional occupations</v>
      </c>
      <c r="B299" s="278">
        <v>1.4208844537907774</v>
      </c>
      <c r="C299" s="278">
        <v>2.1474122451022031</v>
      </c>
      <c r="D299" s="278">
        <f t="shared" ref="D299:D306" si="97">SUM(B299:C299)</f>
        <v>3.5682966988929805</v>
      </c>
      <c r="E299" s="279"/>
      <c r="F299" s="278">
        <v>1.5619373108282704</v>
      </c>
      <c r="G299" s="278">
        <v>2.118042093578234</v>
      </c>
      <c r="H299" s="278">
        <f t="shared" ref="H299:H306" si="98">SUM(F299:G299)</f>
        <v>3.6799794044065042</v>
      </c>
      <c r="I299" s="279"/>
      <c r="J299" s="278">
        <v>1.9860165941257601</v>
      </c>
      <c r="K299" s="278">
        <v>2.8302741470237169</v>
      </c>
      <c r="L299" s="278">
        <f t="shared" ref="L299:L306" si="99">SUM(J299:K299)</f>
        <v>4.8162907411494773</v>
      </c>
      <c r="M299" s="212"/>
      <c r="N299" s="212"/>
    </row>
    <row r="300" spans="1:14">
      <c r="A300" s="213" t="str">
        <f>name!E$6</f>
        <v>Associate professional occupations</v>
      </c>
      <c r="B300" s="278">
        <v>1.718344675814504</v>
      </c>
      <c r="C300" s="278">
        <v>3.5300052776183359</v>
      </c>
      <c r="D300" s="278">
        <f t="shared" si="97"/>
        <v>5.2483499534328395</v>
      </c>
      <c r="E300" s="279"/>
      <c r="F300" s="278">
        <v>1.7482136561884389</v>
      </c>
      <c r="G300" s="278">
        <v>2.9985704413066605</v>
      </c>
      <c r="H300" s="278">
        <f t="shared" si="98"/>
        <v>4.7467840974950999</v>
      </c>
      <c r="I300" s="279"/>
      <c r="J300" s="278">
        <v>2.338695452711828</v>
      </c>
      <c r="K300" s="278">
        <v>2.8674075718178993</v>
      </c>
      <c r="L300" s="278">
        <f t="shared" si="99"/>
        <v>5.2061030245297273</v>
      </c>
      <c r="M300" s="212"/>
      <c r="N300" s="212"/>
    </row>
    <row r="301" spans="1:14">
      <c r="A301" s="213" t="str">
        <f>name!E$7</f>
        <v>Administrative and secretarial occupations</v>
      </c>
      <c r="B301" s="278">
        <v>3.8377046875262426</v>
      </c>
      <c r="C301" s="278">
        <v>2.2919862922195646</v>
      </c>
      <c r="D301" s="278">
        <f t="shared" si="97"/>
        <v>6.1296909797458072</v>
      </c>
      <c r="E301" s="279"/>
      <c r="F301" s="278">
        <v>3.075493713998811</v>
      </c>
      <c r="G301" s="278">
        <v>2.0208876714320794</v>
      </c>
      <c r="H301" s="278">
        <f t="shared" si="98"/>
        <v>5.0963813854308899</v>
      </c>
      <c r="I301" s="279"/>
      <c r="J301" s="278">
        <v>3.0656518258362535</v>
      </c>
      <c r="K301" s="278">
        <v>2.5226295824803717</v>
      </c>
      <c r="L301" s="278">
        <f t="shared" si="99"/>
        <v>5.5882814083166252</v>
      </c>
      <c r="M301" s="212"/>
      <c r="N301" s="212"/>
    </row>
    <row r="302" spans="1:14">
      <c r="A302" s="213" t="str">
        <f>name!E$8</f>
        <v>Skilled trades occupations</v>
      </c>
      <c r="B302" s="278">
        <v>0.16126904807716705</v>
      </c>
      <c r="C302" s="278">
        <v>1.0233234018658497</v>
      </c>
      <c r="D302" s="278">
        <f t="shared" si="97"/>
        <v>1.1845924499430167</v>
      </c>
      <c r="E302" s="279"/>
      <c r="F302" s="278">
        <v>0.14384052216824203</v>
      </c>
      <c r="G302" s="278">
        <v>0.50591092482485067</v>
      </c>
      <c r="H302" s="278">
        <f t="shared" si="98"/>
        <v>0.64975144699309273</v>
      </c>
      <c r="I302" s="279"/>
      <c r="J302" s="278">
        <v>0.21636005068290454</v>
      </c>
      <c r="K302" s="278">
        <v>0.44756259817890442</v>
      </c>
      <c r="L302" s="278">
        <f t="shared" si="99"/>
        <v>0.66392264886180896</v>
      </c>
      <c r="M302" s="212"/>
      <c r="N302" s="212"/>
    </row>
    <row r="303" spans="1:14">
      <c r="A303" s="213" t="str">
        <f>name!E$9</f>
        <v>Caring, leisure and other service occupations</v>
      </c>
      <c r="B303" s="278">
        <v>2.2605135150365139</v>
      </c>
      <c r="C303" s="278">
        <v>0.85028554460275851</v>
      </c>
      <c r="D303" s="278">
        <f t="shared" si="97"/>
        <v>3.1107990596392723</v>
      </c>
      <c r="E303" s="279"/>
      <c r="F303" s="278">
        <v>1.8786633206515815</v>
      </c>
      <c r="G303" s="278">
        <v>0.68513824968503412</v>
      </c>
      <c r="H303" s="278">
        <f t="shared" si="98"/>
        <v>2.5638015703366155</v>
      </c>
      <c r="I303" s="279"/>
      <c r="J303" s="278">
        <v>2.2487069139189324</v>
      </c>
      <c r="K303" s="278">
        <v>0.79676607821841516</v>
      </c>
      <c r="L303" s="278">
        <f t="shared" si="99"/>
        <v>3.0454729921373476</v>
      </c>
      <c r="M303" s="212"/>
      <c r="N303" s="212"/>
    </row>
    <row r="304" spans="1:14">
      <c r="A304" s="213" t="str">
        <f>name!E$10</f>
        <v>Sales and customer service occupations</v>
      </c>
      <c r="B304" s="278">
        <v>1.3632771948755784</v>
      </c>
      <c r="C304" s="278">
        <v>2.8337291514906044</v>
      </c>
      <c r="D304" s="278">
        <f t="shared" si="97"/>
        <v>4.1970063463661829</v>
      </c>
      <c r="E304" s="279"/>
      <c r="F304" s="278">
        <v>1.1573803743356588</v>
      </c>
      <c r="G304" s="278">
        <v>2.0643724833865771</v>
      </c>
      <c r="H304" s="278">
        <f t="shared" si="98"/>
        <v>3.2217528577222359</v>
      </c>
      <c r="I304" s="279"/>
      <c r="J304" s="278">
        <v>1.5457122381233843</v>
      </c>
      <c r="K304" s="278">
        <v>2.4583977106739789</v>
      </c>
      <c r="L304" s="278">
        <f t="shared" si="99"/>
        <v>4.004109948797363</v>
      </c>
      <c r="M304" s="212"/>
      <c r="N304" s="212"/>
    </row>
    <row r="305" spans="1:14">
      <c r="A305" s="213" t="str">
        <f>name!E$11</f>
        <v>Process, plant and machine operatives</v>
      </c>
      <c r="B305" s="278">
        <v>0.12555493614022839</v>
      </c>
      <c r="C305" s="278">
        <v>1.8466738412224382</v>
      </c>
      <c r="D305" s="278">
        <f t="shared" si="97"/>
        <v>1.9722287773626666</v>
      </c>
      <c r="E305" s="279"/>
      <c r="F305" s="278">
        <v>8.8062259813701582E-2</v>
      </c>
      <c r="G305" s="278">
        <v>1.1880812001280907</v>
      </c>
      <c r="H305" s="278">
        <f t="shared" si="98"/>
        <v>1.2761434599417922</v>
      </c>
      <c r="I305" s="279"/>
      <c r="J305" s="278">
        <v>0.10739162196918479</v>
      </c>
      <c r="K305" s="278">
        <v>1.0200500207045606</v>
      </c>
      <c r="L305" s="278">
        <f t="shared" si="99"/>
        <v>1.1274416426737455</v>
      </c>
      <c r="M305" s="212"/>
      <c r="N305" s="212"/>
    </row>
    <row r="306" spans="1:14">
      <c r="A306" s="213" t="str">
        <f>name!E$12</f>
        <v>Elementary occupations</v>
      </c>
      <c r="B306" s="278">
        <v>4.3596848919943501</v>
      </c>
      <c r="C306" s="278">
        <v>7.6011474612840715</v>
      </c>
      <c r="D306" s="278">
        <f t="shared" si="97"/>
        <v>11.960832353278422</v>
      </c>
      <c r="E306" s="279"/>
      <c r="F306" s="278">
        <v>3.3353458441968988</v>
      </c>
      <c r="G306" s="278">
        <v>4.9232741512819658</v>
      </c>
      <c r="H306" s="278">
        <f t="shared" si="98"/>
        <v>8.2586199954788651</v>
      </c>
      <c r="I306" s="279"/>
      <c r="J306" s="278">
        <v>2.9081507555568793</v>
      </c>
      <c r="K306" s="278">
        <v>5.6313781771096467</v>
      </c>
      <c r="L306" s="278">
        <f t="shared" si="99"/>
        <v>8.539528932666526</v>
      </c>
      <c r="M306" s="212"/>
      <c r="N306" s="212"/>
    </row>
    <row r="307" spans="1:14">
      <c r="A307" s="213"/>
      <c r="B307" s="278"/>
      <c r="C307" s="278"/>
      <c r="D307" s="278"/>
      <c r="E307" s="279"/>
      <c r="F307" s="278"/>
      <c r="G307" s="278"/>
      <c r="H307" s="278"/>
      <c r="I307" s="279"/>
      <c r="J307" s="278"/>
      <c r="K307" s="278"/>
      <c r="L307" s="278"/>
      <c r="M307" s="212"/>
      <c r="N307" s="212"/>
    </row>
    <row r="308" spans="1:14">
      <c r="A308" s="220" t="s">
        <v>117</v>
      </c>
      <c r="B308" s="282">
        <f>SUM(B298:B306)</f>
        <v>16.147153887739805</v>
      </c>
      <c r="C308" s="282">
        <f t="shared" ref="C308:D308" si="100">SUM(C298:C306)</f>
        <v>24.093846112260209</v>
      </c>
      <c r="D308" s="282">
        <f t="shared" si="100"/>
        <v>40.241000000000014</v>
      </c>
      <c r="E308" s="282"/>
      <c r="F308" s="282">
        <f t="shared" ref="F308:H308" si="101">SUM(F298:F306)</f>
        <v>13.940907497952903</v>
      </c>
      <c r="G308" s="282">
        <f t="shared" si="101"/>
        <v>18.227092502047121</v>
      </c>
      <c r="H308" s="282">
        <f t="shared" si="101"/>
        <v>32.168000000000028</v>
      </c>
      <c r="I308" s="282"/>
      <c r="J308" s="282">
        <f t="shared" ref="J308:L308" si="102">SUM(J298:J306)</f>
        <v>15.453703712240383</v>
      </c>
      <c r="K308" s="282">
        <f t="shared" si="102"/>
        <v>20.229296287759595</v>
      </c>
      <c r="L308" s="282">
        <f t="shared" si="102"/>
        <v>35.682999999999979</v>
      </c>
      <c r="M308" s="212"/>
      <c r="N308" s="212"/>
    </row>
    <row r="309" spans="1:14">
      <c r="A309" s="213"/>
      <c r="B309" s="213"/>
      <c r="C309" s="213"/>
      <c r="D309" s="213"/>
      <c r="E309" s="213"/>
      <c r="F309" s="213"/>
      <c r="G309" s="213"/>
      <c r="H309" s="213"/>
      <c r="I309" s="213"/>
      <c r="J309" s="213"/>
      <c r="K309" s="213"/>
      <c r="L309" s="216"/>
      <c r="M309" s="212"/>
      <c r="N309" s="212"/>
    </row>
    <row r="310" spans="1:14">
      <c r="A310" s="213"/>
      <c r="B310" s="213"/>
      <c r="C310" s="213"/>
      <c r="D310" s="213"/>
      <c r="E310" s="213"/>
      <c r="F310" s="213"/>
      <c r="G310" s="213"/>
      <c r="H310" s="213"/>
      <c r="I310" s="213"/>
      <c r="J310" s="213"/>
      <c r="K310" s="213"/>
      <c r="L310" s="232" t="s">
        <v>112</v>
      </c>
      <c r="M310" s="212"/>
      <c r="N310" s="212"/>
    </row>
    <row r="311" spans="1:14">
      <c r="A311" s="218"/>
      <c r="B311" s="226"/>
      <c r="C311" s="226"/>
      <c r="D311" s="226"/>
      <c r="E311" s="226"/>
      <c r="F311" s="226"/>
      <c r="G311" s="226"/>
      <c r="H311" s="226"/>
      <c r="I311" s="226"/>
      <c r="J311" s="226"/>
      <c r="K311" s="226"/>
      <c r="L311" s="212"/>
      <c r="M311" s="212"/>
      <c r="N311" s="212"/>
    </row>
    <row r="312" spans="1:14">
      <c r="A312" s="217" t="str">
        <f>name!B21</f>
        <v>Public admin. and defence</v>
      </c>
      <c r="B312" s="347">
        <f>B$6</f>
        <v>2015</v>
      </c>
      <c r="C312" s="347"/>
      <c r="D312" s="347"/>
      <c r="E312" s="229"/>
      <c r="F312" s="347">
        <f>F295</f>
        <v>2020</v>
      </c>
      <c r="G312" s="347"/>
      <c r="H312" s="347"/>
      <c r="I312" s="229"/>
      <c r="J312" s="347">
        <f>J295</f>
        <v>2035</v>
      </c>
      <c r="K312" s="347"/>
      <c r="L312" s="347"/>
      <c r="M312" s="212"/>
      <c r="N312" s="212"/>
    </row>
    <row r="313" spans="1:14">
      <c r="A313" s="230"/>
      <c r="B313" s="231" t="s">
        <v>154</v>
      </c>
      <c r="C313" s="231" t="s">
        <v>155</v>
      </c>
      <c r="D313" s="231" t="s">
        <v>117</v>
      </c>
      <c r="E313" s="231"/>
      <c r="F313" s="231" t="s">
        <v>154</v>
      </c>
      <c r="G313" s="231" t="s">
        <v>155</v>
      </c>
      <c r="H313" s="231" t="s">
        <v>117</v>
      </c>
      <c r="I313" s="231"/>
      <c r="J313" s="231" t="s">
        <v>154</v>
      </c>
      <c r="K313" s="231" t="s">
        <v>155</v>
      </c>
      <c r="L313" s="231" t="s">
        <v>117</v>
      </c>
      <c r="M313" s="212"/>
      <c r="N313" s="212"/>
    </row>
    <row r="314" spans="1:14">
      <c r="A314" s="234"/>
      <c r="B314" s="235"/>
      <c r="C314" s="235"/>
      <c r="D314" s="235"/>
      <c r="E314" s="235"/>
      <c r="F314" s="235"/>
      <c r="G314" s="235"/>
      <c r="H314" s="235"/>
      <c r="I314" s="235"/>
      <c r="J314" s="235"/>
      <c r="K314" s="235"/>
      <c r="L314" s="235"/>
      <c r="M314" s="212"/>
      <c r="N314" s="212"/>
    </row>
    <row r="315" spans="1:14">
      <c r="A315" s="213" t="str">
        <f>name!E$4</f>
        <v>Managers, directors and senior officials</v>
      </c>
      <c r="B315" s="278">
        <v>0.4421045736692425</v>
      </c>
      <c r="C315" s="278">
        <v>0.68961589333463758</v>
      </c>
      <c r="D315" s="278">
        <f>SUM(B315:C315)</f>
        <v>1.1317204670038801</v>
      </c>
      <c r="E315" s="279"/>
      <c r="F315" s="278">
        <v>0.51544829390051661</v>
      </c>
      <c r="G315" s="278">
        <v>0.62256479371851781</v>
      </c>
      <c r="H315" s="278">
        <f>SUM(F315:G315)</f>
        <v>1.1380130876190344</v>
      </c>
      <c r="I315" s="279"/>
      <c r="J315" s="278">
        <v>0.60053564416791583</v>
      </c>
      <c r="K315" s="278">
        <v>0.61206646143725163</v>
      </c>
      <c r="L315" s="278">
        <f>SUM(J315:K315)</f>
        <v>1.2126021056051675</v>
      </c>
      <c r="M315" s="212"/>
      <c r="N315" s="212"/>
    </row>
    <row r="316" spans="1:14">
      <c r="A316" s="213" t="str">
        <f>name!E$5</f>
        <v>Professional occupations</v>
      </c>
      <c r="B316" s="278">
        <v>1.7388897296823829</v>
      </c>
      <c r="C316" s="278">
        <v>1.0716665902222184</v>
      </c>
      <c r="D316" s="278">
        <f t="shared" ref="D316:D323" si="103">SUM(B316:C316)</f>
        <v>2.8105563199046015</v>
      </c>
      <c r="E316" s="279"/>
      <c r="F316" s="278">
        <v>2.0005562835502757</v>
      </c>
      <c r="G316" s="278">
        <v>1.134913982941905</v>
      </c>
      <c r="H316" s="278">
        <f t="shared" ref="H316:H323" si="104">SUM(F316:G316)</f>
        <v>3.135470266492181</v>
      </c>
      <c r="I316" s="279"/>
      <c r="J316" s="278">
        <v>2.4388971976547573</v>
      </c>
      <c r="K316" s="278">
        <v>1.5021438494083408</v>
      </c>
      <c r="L316" s="278">
        <f t="shared" ref="L316:L323" si="105">SUM(J316:K316)</f>
        <v>3.9410410470630981</v>
      </c>
      <c r="M316" s="212"/>
      <c r="N316" s="212"/>
    </row>
    <row r="317" spans="1:14">
      <c r="A317" s="213" t="str">
        <f>name!E$6</f>
        <v>Associate professional occupations</v>
      </c>
      <c r="B317" s="278">
        <v>1.9691242998557132</v>
      </c>
      <c r="C317" s="278">
        <v>2.5261989590467588</v>
      </c>
      <c r="D317" s="278">
        <f t="shared" si="103"/>
        <v>4.4953232589024719</v>
      </c>
      <c r="E317" s="279"/>
      <c r="F317" s="278">
        <v>2.1527235036522785</v>
      </c>
      <c r="G317" s="278">
        <v>2.4835253686488117</v>
      </c>
      <c r="H317" s="278">
        <f t="shared" si="104"/>
        <v>4.6362488723010902</v>
      </c>
      <c r="I317" s="279"/>
      <c r="J317" s="278">
        <v>2.8381815609225858</v>
      </c>
      <c r="K317" s="278">
        <v>2.1413154127591252</v>
      </c>
      <c r="L317" s="278">
        <f t="shared" si="105"/>
        <v>4.9794969736817105</v>
      </c>
      <c r="M317" s="212"/>
      <c r="N317" s="212"/>
    </row>
    <row r="318" spans="1:14">
      <c r="A318" s="213" t="str">
        <f>name!E$7</f>
        <v>Administrative and secretarial occupations</v>
      </c>
      <c r="B318" s="278">
        <v>3.9269115870052236</v>
      </c>
      <c r="C318" s="278">
        <v>1.2327389495782968</v>
      </c>
      <c r="D318" s="278">
        <f t="shared" si="103"/>
        <v>5.1596505365835199</v>
      </c>
      <c r="E318" s="279"/>
      <c r="F318" s="278">
        <v>3.3690581258435595</v>
      </c>
      <c r="G318" s="278">
        <v>1.1791849068381777</v>
      </c>
      <c r="H318" s="278">
        <f t="shared" si="104"/>
        <v>4.5482430326817376</v>
      </c>
      <c r="I318" s="279"/>
      <c r="J318" s="278">
        <v>2.7780288604791288</v>
      </c>
      <c r="K318" s="278">
        <v>1.3986207962107429</v>
      </c>
      <c r="L318" s="278">
        <f t="shared" si="105"/>
        <v>4.1766496566898716</v>
      </c>
      <c r="M318" s="212"/>
      <c r="N318" s="212"/>
    </row>
    <row r="319" spans="1:14">
      <c r="A319" s="213" t="str">
        <f>name!E$8</f>
        <v>Skilled trades occupations</v>
      </c>
      <c r="B319" s="278">
        <v>3.4678818757377598E-2</v>
      </c>
      <c r="C319" s="278">
        <v>0.34694311915696147</v>
      </c>
      <c r="D319" s="278">
        <f t="shared" si="103"/>
        <v>0.38162193791433907</v>
      </c>
      <c r="E319" s="279"/>
      <c r="F319" s="278">
        <v>3.38107507643126E-2</v>
      </c>
      <c r="G319" s="278">
        <v>0.156837905606171</v>
      </c>
      <c r="H319" s="278">
        <f t="shared" si="104"/>
        <v>0.19064865637048362</v>
      </c>
      <c r="I319" s="279"/>
      <c r="J319" s="278">
        <v>7.2510599458634126E-2</v>
      </c>
      <c r="K319" s="278">
        <v>0.14575499557767904</v>
      </c>
      <c r="L319" s="278">
        <f t="shared" si="105"/>
        <v>0.21826559503631315</v>
      </c>
      <c r="M319" s="212"/>
      <c r="N319" s="212"/>
    </row>
    <row r="320" spans="1:14">
      <c r="A320" s="213" t="str">
        <f>name!E$9</f>
        <v>Caring, leisure and other service occupations</v>
      </c>
      <c r="B320" s="278">
        <v>0.64037897549282041</v>
      </c>
      <c r="C320" s="278">
        <v>0.15611981819883813</v>
      </c>
      <c r="D320" s="278">
        <f t="shared" si="103"/>
        <v>0.79649879369165855</v>
      </c>
      <c r="E320" s="279"/>
      <c r="F320" s="278">
        <v>0.56083320066732623</v>
      </c>
      <c r="G320" s="278">
        <v>0.12968482468602074</v>
      </c>
      <c r="H320" s="278">
        <f t="shared" si="104"/>
        <v>0.69051802535334694</v>
      </c>
      <c r="I320" s="279"/>
      <c r="J320" s="278">
        <v>0.61365037366264474</v>
      </c>
      <c r="K320" s="278">
        <v>0.13824930435158056</v>
      </c>
      <c r="L320" s="278">
        <f t="shared" si="105"/>
        <v>0.7518996780142253</v>
      </c>
      <c r="M320" s="212"/>
      <c r="N320" s="212"/>
    </row>
    <row r="321" spans="1:14">
      <c r="A321" s="213" t="str">
        <f>name!E$10</f>
        <v>Sales and customer service occupations</v>
      </c>
      <c r="B321" s="278">
        <v>0.32543262273896345</v>
      </c>
      <c r="C321" s="278">
        <v>0.14190946169166094</v>
      </c>
      <c r="D321" s="278">
        <f t="shared" si="103"/>
        <v>0.46734208443062442</v>
      </c>
      <c r="E321" s="279"/>
      <c r="F321" s="278">
        <v>0.30227348510703783</v>
      </c>
      <c r="G321" s="278">
        <v>0.11022423422448875</v>
      </c>
      <c r="H321" s="278">
        <f t="shared" si="104"/>
        <v>0.41249771933152657</v>
      </c>
      <c r="I321" s="279"/>
      <c r="J321" s="278">
        <v>0.33174211928451797</v>
      </c>
      <c r="K321" s="278">
        <v>0.14732050266170638</v>
      </c>
      <c r="L321" s="278">
        <f t="shared" si="105"/>
        <v>0.47906262194622434</v>
      </c>
      <c r="M321" s="212"/>
      <c r="N321" s="212"/>
    </row>
    <row r="322" spans="1:14">
      <c r="A322" s="213" t="str">
        <f>name!E$11</f>
        <v>Process, plant and machine operatives</v>
      </c>
      <c r="B322" s="278">
        <v>2.2432627611353964E-2</v>
      </c>
      <c r="C322" s="278">
        <v>0.23554072919154356</v>
      </c>
      <c r="D322" s="278">
        <f t="shared" si="103"/>
        <v>0.25797335680289751</v>
      </c>
      <c r="E322" s="279"/>
      <c r="F322" s="278">
        <v>1.4110494071050809E-2</v>
      </c>
      <c r="G322" s="278">
        <v>0.15997227837570457</v>
      </c>
      <c r="H322" s="278">
        <f t="shared" si="104"/>
        <v>0.17408277244675538</v>
      </c>
      <c r="I322" s="279"/>
      <c r="J322" s="278">
        <v>2.2570539227586311E-2</v>
      </c>
      <c r="K322" s="278">
        <v>0.15807804293205574</v>
      </c>
      <c r="L322" s="278">
        <f t="shared" si="105"/>
        <v>0.18064858215964205</v>
      </c>
      <c r="M322" s="212"/>
      <c r="N322" s="212"/>
    </row>
    <row r="323" spans="1:14">
      <c r="A323" s="213" t="str">
        <f>name!E$12</f>
        <v>Elementary occupations</v>
      </c>
      <c r="B323" s="278">
        <v>0.2677804769583213</v>
      </c>
      <c r="C323" s="278">
        <v>0.23453276780767141</v>
      </c>
      <c r="D323" s="278">
        <f t="shared" si="103"/>
        <v>0.50231324476599271</v>
      </c>
      <c r="E323" s="279"/>
      <c r="F323" s="278">
        <v>0.19426098662718</v>
      </c>
      <c r="G323" s="278">
        <v>0.1610165807766627</v>
      </c>
      <c r="H323" s="278">
        <f t="shared" si="104"/>
        <v>0.3552775674038427</v>
      </c>
      <c r="I323" s="279"/>
      <c r="J323" s="278">
        <v>0.14589322028427668</v>
      </c>
      <c r="K323" s="278">
        <v>0.13944051951944988</v>
      </c>
      <c r="L323" s="278">
        <f t="shared" si="105"/>
        <v>0.28533373980372656</v>
      </c>
      <c r="M323" s="212"/>
      <c r="N323" s="212"/>
    </row>
    <row r="324" spans="1:14">
      <c r="A324" s="213"/>
      <c r="B324" s="278"/>
      <c r="C324" s="278"/>
      <c r="D324" s="278"/>
      <c r="E324" s="279"/>
      <c r="F324" s="278"/>
      <c r="G324" s="278"/>
      <c r="H324" s="278"/>
      <c r="I324" s="279"/>
      <c r="J324" s="278"/>
      <c r="K324" s="278"/>
      <c r="L324" s="278"/>
      <c r="M324" s="212"/>
      <c r="N324" s="212"/>
    </row>
    <row r="325" spans="1:14">
      <c r="A325" s="220" t="s">
        <v>117</v>
      </c>
      <c r="B325" s="282">
        <f>SUM(B315:B323)</f>
        <v>9.3677337117713986</v>
      </c>
      <c r="C325" s="282">
        <f t="shared" ref="C325:D325" si="106">SUM(C315:C323)</f>
        <v>6.6352662882285873</v>
      </c>
      <c r="D325" s="282">
        <f t="shared" si="106"/>
        <v>16.002999999999986</v>
      </c>
      <c r="E325" s="282"/>
      <c r="F325" s="282">
        <f t="shared" ref="F325:H325" si="107">SUM(F315:F323)</f>
        <v>9.1430751241835395</v>
      </c>
      <c r="G325" s="282">
        <f t="shared" si="107"/>
        <v>6.1379248758164593</v>
      </c>
      <c r="H325" s="282">
        <f t="shared" si="107"/>
        <v>15.280999999999997</v>
      </c>
      <c r="I325" s="282"/>
      <c r="J325" s="282">
        <f t="shared" ref="J325:L325" si="108">SUM(J315:J323)</f>
        <v>9.8420101151420489</v>
      </c>
      <c r="K325" s="282">
        <f t="shared" si="108"/>
        <v>6.3829898848579329</v>
      </c>
      <c r="L325" s="282">
        <f t="shared" si="108"/>
        <v>16.22499999999998</v>
      </c>
      <c r="M325" s="212"/>
      <c r="N325" s="212"/>
    </row>
    <row r="326" spans="1:14">
      <c r="A326" s="213"/>
      <c r="B326" s="213"/>
      <c r="C326" s="213"/>
      <c r="D326" s="213"/>
      <c r="E326" s="213"/>
      <c r="F326" s="213"/>
      <c r="G326" s="213"/>
      <c r="H326" s="213"/>
      <c r="I326" s="213"/>
      <c r="J326" s="213"/>
      <c r="K326" s="213"/>
      <c r="L326" s="216"/>
      <c r="M326" s="212"/>
      <c r="N326" s="212"/>
    </row>
    <row r="327" spans="1:14">
      <c r="A327" s="213"/>
      <c r="B327" s="213"/>
      <c r="C327" s="213"/>
      <c r="D327" s="213"/>
      <c r="E327" s="213"/>
      <c r="F327" s="213"/>
      <c r="G327" s="213"/>
      <c r="H327" s="213"/>
      <c r="I327" s="213"/>
      <c r="J327" s="213"/>
      <c r="K327" s="213"/>
      <c r="L327" s="232" t="s">
        <v>112</v>
      </c>
      <c r="M327" s="212"/>
      <c r="N327" s="212"/>
    </row>
    <row r="328" spans="1:14">
      <c r="A328" s="218"/>
      <c r="B328" s="226"/>
      <c r="C328" s="226"/>
      <c r="D328" s="226"/>
      <c r="E328" s="226"/>
      <c r="F328" s="226"/>
      <c r="G328" s="226"/>
      <c r="H328" s="226"/>
      <c r="I328" s="226"/>
      <c r="J328" s="226"/>
      <c r="K328" s="226"/>
      <c r="L328" s="212"/>
      <c r="M328" s="212"/>
      <c r="N328" s="212"/>
    </row>
    <row r="329" spans="1:14">
      <c r="A329" s="217" t="str">
        <f>name!B22</f>
        <v>Education</v>
      </c>
      <c r="B329" s="347">
        <f>B$6</f>
        <v>2015</v>
      </c>
      <c r="C329" s="347"/>
      <c r="D329" s="347"/>
      <c r="E329" s="229"/>
      <c r="F329" s="347">
        <f>F312</f>
        <v>2020</v>
      </c>
      <c r="G329" s="347"/>
      <c r="H329" s="347"/>
      <c r="I329" s="229"/>
      <c r="J329" s="347">
        <f>J312</f>
        <v>2035</v>
      </c>
      <c r="K329" s="347"/>
      <c r="L329" s="347"/>
      <c r="M329" s="212"/>
      <c r="N329" s="212"/>
    </row>
    <row r="330" spans="1:14">
      <c r="A330" s="230"/>
      <c r="B330" s="231" t="s">
        <v>154</v>
      </c>
      <c r="C330" s="231" t="s">
        <v>155</v>
      </c>
      <c r="D330" s="231" t="s">
        <v>117</v>
      </c>
      <c r="E330" s="231"/>
      <c r="F330" s="231" t="s">
        <v>154</v>
      </c>
      <c r="G330" s="231" t="s">
        <v>155</v>
      </c>
      <c r="H330" s="231" t="s">
        <v>117</v>
      </c>
      <c r="I330" s="231"/>
      <c r="J330" s="231" t="s">
        <v>154</v>
      </c>
      <c r="K330" s="231" t="s">
        <v>155</v>
      </c>
      <c r="L330" s="231" t="s">
        <v>117</v>
      </c>
      <c r="M330" s="212"/>
      <c r="N330" s="212"/>
    </row>
    <row r="331" spans="1:14">
      <c r="A331" s="234"/>
      <c r="B331" s="235"/>
      <c r="C331" s="235"/>
      <c r="D331" s="235"/>
      <c r="E331" s="235"/>
      <c r="F331" s="235"/>
      <c r="G331" s="235"/>
      <c r="H331" s="235"/>
      <c r="I331" s="235"/>
      <c r="J331" s="235"/>
      <c r="K331" s="235"/>
      <c r="L331" s="235"/>
      <c r="M331" s="212"/>
      <c r="N331" s="212"/>
    </row>
    <row r="332" spans="1:14">
      <c r="A332" s="213" t="str">
        <f>name!E$4</f>
        <v>Managers, directors and senior officials</v>
      </c>
      <c r="B332" s="278">
        <v>0.44101729828285546</v>
      </c>
      <c r="C332" s="278">
        <v>0.61926542835079135</v>
      </c>
      <c r="D332" s="278">
        <f>SUM(B332:C332)</f>
        <v>1.0602827266336468</v>
      </c>
      <c r="E332" s="279"/>
      <c r="F332" s="278">
        <v>0.54265813254824868</v>
      </c>
      <c r="G332" s="278">
        <v>0.63339122039735907</v>
      </c>
      <c r="H332" s="278">
        <f>SUM(F332:G332)</f>
        <v>1.1760493529456078</v>
      </c>
      <c r="I332" s="279"/>
      <c r="J332" s="278">
        <v>0.59917869464541085</v>
      </c>
      <c r="K332" s="278">
        <v>0.62136026876886163</v>
      </c>
      <c r="L332" s="278">
        <f>SUM(J332:K332)</f>
        <v>1.2205389634142725</v>
      </c>
      <c r="M332" s="212"/>
      <c r="N332" s="212"/>
    </row>
    <row r="333" spans="1:14">
      <c r="A333" s="213" t="str">
        <f>name!E$5</f>
        <v>Professional occupations</v>
      </c>
      <c r="B333" s="278">
        <v>12.392114094579538</v>
      </c>
      <c r="C333" s="278">
        <v>7.3570672707027205</v>
      </c>
      <c r="D333" s="278">
        <f t="shared" ref="D333:D340" si="109">SUM(B333:C333)</f>
        <v>19.749181365282258</v>
      </c>
      <c r="E333" s="279"/>
      <c r="F333" s="278">
        <v>14.168379304717126</v>
      </c>
      <c r="G333" s="278">
        <v>7.9255423587912412</v>
      </c>
      <c r="H333" s="278">
        <f t="shared" ref="H333:H340" si="110">SUM(F333:G333)</f>
        <v>22.093921663508368</v>
      </c>
      <c r="I333" s="279"/>
      <c r="J333" s="278">
        <v>16.536106119196905</v>
      </c>
      <c r="K333" s="278">
        <v>9.1339770343396456</v>
      </c>
      <c r="L333" s="278">
        <f t="shared" ref="L333:L340" si="111">SUM(J333:K333)</f>
        <v>25.670083153536552</v>
      </c>
      <c r="M333" s="212"/>
      <c r="N333" s="212"/>
    </row>
    <row r="334" spans="1:14">
      <c r="A334" s="213" t="str">
        <f>name!E$6</f>
        <v>Associate professional occupations</v>
      </c>
      <c r="B334" s="278">
        <v>2.0177730638832791</v>
      </c>
      <c r="C334" s="278">
        <v>1.7162091592083353</v>
      </c>
      <c r="D334" s="278">
        <f t="shared" si="109"/>
        <v>3.7339822230916146</v>
      </c>
      <c r="E334" s="279"/>
      <c r="F334" s="278">
        <v>2.2093282712139164</v>
      </c>
      <c r="G334" s="278">
        <v>1.7432763096485568</v>
      </c>
      <c r="H334" s="278">
        <f t="shared" si="110"/>
        <v>3.9526045808624732</v>
      </c>
      <c r="I334" s="279"/>
      <c r="J334" s="278">
        <v>3.5199897901236477</v>
      </c>
      <c r="K334" s="278">
        <v>1.5783949503504275</v>
      </c>
      <c r="L334" s="278">
        <f t="shared" si="111"/>
        <v>5.0983847404740752</v>
      </c>
      <c r="M334" s="212"/>
      <c r="N334" s="212"/>
    </row>
    <row r="335" spans="1:14">
      <c r="A335" s="213" t="str">
        <f>name!E$7</f>
        <v>Administrative and secretarial occupations</v>
      </c>
      <c r="B335" s="278">
        <v>2.802181725051498</v>
      </c>
      <c r="C335" s="278">
        <v>0.48149066665883267</v>
      </c>
      <c r="D335" s="278">
        <f t="shared" si="109"/>
        <v>3.2836723917103305</v>
      </c>
      <c r="E335" s="279"/>
      <c r="F335" s="278">
        <v>2.4253975682653537</v>
      </c>
      <c r="G335" s="278">
        <v>0.39943491629148603</v>
      </c>
      <c r="H335" s="278">
        <f t="shared" si="110"/>
        <v>2.8248324845568398</v>
      </c>
      <c r="I335" s="279"/>
      <c r="J335" s="278">
        <v>1.3668137650248475</v>
      </c>
      <c r="K335" s="278">
        <v>0.39091142949424851</v>
      </c>
      <c r="L335" s="278">
        <f t="shared" si="111"/>
        <v>1.7577251945190961</v>
      </c>
      <c r="M335" s="212"/>
      <c r="N335" s="212"/>
    </row>
    <row r="336" spans="1:14">
      <c r="A336" s="213" t="str">
        <f>name!E$8</f>
        <v>Skilled trades occupations</v>
      </c>
      <c r="B336" s="278">
        <v>0.37416218505982274</v>
      </c>
      <c r="C336" s="278">
        <v>0.47346960884044015</v>
      </c>
      <c r="D336" s="278">
        <f t="shared" si="109"/>
        <v>0.84763179390026289</v>
      </c>
      <c r="E336" s="279"/>
      <c r="F336" s="278">
        <v>0.3016912175840154</v>
      </c>
      <c r="G336" s="278">
        <v>0.3148684810484067</v>
      </c>
      <c r="H336" s="278">
        <f t="shared" si="110"/>
        <v>0.6165596986324221</v>
      </c>
      <c r="I336" s="279"/>
      <c r="J336" s="278">
        <v>0.23784625759257966</v>
      </c>
      <c r="K336" s="278">
        <v>0.22165039532481887</v>
      </c>
      <c r="L336" s="278">
        <f t="shared" si="111"/>
        <v>0.4594966529173985</v>
      </c>
      <c r="M336" s="212"/>
      <c r="N336" s="212"/>
    </row>
    <row r="337" spans="1:14">
      <c r="A337" s="213" t="str">
        <f>name!E$9</f>
        <v>Caring, leisure and other service occupations</v>
      </c>
      <c r="B337" s="278">
        <v>11.460341584465455</v>
      </c>
      <c r="C337" s="278">
        <v>0.97559450153234561</v>
      </c>
      <c r="D337" s="278">
        <f t="shared" si="109"/>
        <v>12.435936085997801</v>
      </c>
      <c r="E337" s="279"/>
      <c r="F337" s="278">
        <v>10.602653713603864</v>
      </c>
      <c r="G337" s="278">
        <v>0.84666496022713389</v>
      </c>
      <c r="H337" s="278">
        <f t="shared" si="110"/>
        <v>11.449318673830998</v>
      </c>
      <c r="I337" s="279"/>
      <c r="J337" s="278">
        <v>12.283524635916686</v>
      </c>
      <c r="K337" s="278">
        <v>0.94547872731382587</v>
      </c>
      <c r="L337" s="278">
        <f t="shared" si="111"/>
        <v>13.229003363230513</v>
      </c>
      <c r="M337" s="212"/>
      <c r="N337" s="212"/>
    </row>
    <row r="338" spans="1:14">
      <c r="A338" s="213" t="str">
        <f>name!E$10</f>
        <v>Sales and customer service occupations</v>
      </c>
      <c r="B338" s="278">
        <v>0.22435526667043049</v>
      </c>
      <c r="C338" s="278">
        <v>7.8168872378705637E-2</v>
      </c>
      <c r="D338" s="278">
        <f t="shared" si="109"/>
        <v>0.30252413904913611</v>
      </c>
      <c r="E338" s="279"/>
      <c r="F338" s="278">
        <v>0.19476706263758831</v>
      </c>
      <c r="G338" s="278">
        <v>6.2118280242442696E-2</v>
      </c>
      <c r="H338" s="278">
        <f t="shared" si="110"/>
        <v>0.25688534288003101</v>
      </c>
      <c r="I338" s="279"/>
      <c r="J338" s="278">
        <v>0.21158892660925774</v>
      </c>
      <c r="K338" s="278">
        <v>7.277264005377436E-2</v>
      </c>
      <c r="L338" s="278">
        <f t="shared" si="111"/>
        <v>0.28436156666303208</v>
      </c>
      <c r="M338" s="212"/>
      <c r="N338" s="212"/>
    </row>
    <row r="339" spans="1:14">
      <c r="A339" s="213" t="str">
        <f>name!E$11</f>
        <v>Process, plant and machine operatives</v>
      </c>
      <c r="B339" s="278">
        <v>0.15042598700755172</v>
      </c>
      <c r="C339" s="278">
        <v>0.64161777339427239</v>
      </c>
      <c r="D339" s="278">
        <f t="shared" si="109"/>
        <v>0.79204376040182412</v>
      </c>
      <c r="E339" s="279"/>
      <c r="F339" s="278">
        <v>0.16693012052597128</v>
      </c>
      <c r="G339" s="278">
        <v>0.61603956385840231</v>
      </c>
      <c r="H339" s="278">
        <f t="shared" si="110"/>
        <v>0.78296968438437364</v>
      </c>
      <c r="I339" s="279"/>
      <c r="J339" s="278">
        <v>0.21414708438535904</v>
      </c>
      <c r="K339" s="278">
        <v>0.67823550267815802</v>
      </c>
      <c r="L339" s="278">
        <f t="shared" si="111"/>
        <v>0.89238258706351703</v>
      </c>
      <c r="M339" s="212"/>
      <c r="N339" s="212"/>
    </row>
    <row r="340" spans="1:14">
      <c r="A340" s="213" t="str">
        <f>name!E$12</f>
        <v>Elementary occupations</v>
      </c>
      <c r="B340" s="278">
        <v>2.3457742918881088</v>
      </c>
      <c r="C340" s="278">
        <v>0.25897122204509421</v>
      </c>
      <c r="D340" s="278">
        <f t="shared" si="109"/>
        <v>2.604745513933203</v>
      </c>
      <c r="E340" s="279"/>
      <c r="F340" s="278">
        <v>1.7553650071536508</v>
      </c>
      <c r="G340" s="278">
        <v>0.15449351124520738</v>
      </c>
      <c r="H340" s="278">
        <f t="shared" si="110"/>
        <v>1.9098585183988583</v>
      </c>
      <c r="I340" s="279"/>
      <c r="J340" s="278">
        <v>0.46055328991076305</v>
      </c>
      <c r="K340" s="278">
        <v>9.1470488270725153E-2</v>
      </c>
      <c r="L340" s="278">
        <f t="shared" si="111"/>
        <v>0.55202377818148818</v>
      </c>
      <c r="M340" s="212"/>
      <c r="N340" s="212"/>
    </row>
    <row r="341" spans="1:14">
      <c r="A341" s="213"/>
      <c r="B341" s="278"/>
      <c r="C341" s="278"/>
      <c r="D341" s="278"/>
      <c r="E341" s="279"/>
      <c r="F341" s="278"/>
      <c r="G341" s="278"/>
      <c r="H341" s="278"/>
      <c r="I341" s="279"/>
      <c r="J341" s="278"/>
      <c r="K341" s="278"/>
      <c r="L341" s="278"/>
      <c r="M341" s="212"/>
      <c r="N341" s="212"/>
    </row>
    <row r="342" spans="1:14">
      <c r="A342" s="220" t="s">
        <v>117</v>
      </c>
      <c r="B342" s="282">
        <f>SUM(B332:B340)</f>
        <v>32.208145496888534</v>
      </c>
      <c r="C342" s="282">
        <f t="shared" ref="C342:D342" si="112">SUM(C332:C340)</f>
        <v>12.601854503111539</v>
      </c>
      <c r="D342" s="282">
        <f t="shared" si="112"/>
        <v>44.810000000000073</v>
      </c>
      <c r="E342" s="282"/>
      <c r="F342" s="282">
        <f t="shared" ref="F342:H342" si="113">SUM(F332:F340)</f>
        <v>32.367170398249733</v>
      </c>
      <c r="G342" s="282">
        <f t="shared" si="113"/>
        <v>12.695829601750237</v>
      </c>
      <c r="H342" s="282">
        <f t="shared" si="113"/>
        <v>45.062999999999974</v>
      </c>
      <c r="I342" s="282"/>
      <c r="J342" s="282">
        <f t="shared" ref="J342:L342" si="114">SUM(J332:J340)</f>
        <v>35.429748563405461</v>
      </c>
      <c r="K342" s="282">
        <f t="shared" si="114"/>
        <v>13.734251436594485</v>
      </c>
      <c r="L342" s="282">
        <f t="shared" si="114"/>
        <v>49.163999999999938</v>
      </c>
      <c r="M342" s="212"/>
      <c r="N342" s="212"/>
    </row>
    <row r="343" spans="1:14">
      <c r="A343" s="213"/>
      <c r="B343" s="213"/>
      <c r="C343" s="213"/>
      <c r="D343" s="213"/>
      <c r="E343" s="213"/>
      <c r="F343" s="213"/>
      <c r="G343" s="213"/>
      <c r="H343" s="213"/>
      <c r="I343" s="213"/>
      <c r="J343" s="213"/>
      <c r="K343" s="213"/>
      <c r="L343" s="216"/>
      <c r="M343" s="212"/>
      <c r="N343" s="212"/>
    </row>
    <row r="344" spans="1:14">
      <c r="A344" s="213"/>
      <c r="B344" s="213"/>
      <c r="C344" s="213"/>
      <c r="D344" s="213"/>
      <c r="E344" s="213"/>
      <c r="F344" s="213"/>
      <c r="G344" s="213"/>
      <c r="H344" s="213"/>
      <c r="I344" s="213"/>
      <c r="J344" s="213"/>
      <c r="K344" s="213"/>
      <c r="L344" s="232" t="s">
        <v>112</v>
      </c>
      <c r="M344" s="212"/>
      <c r="N344" s="212"/>
    </row>
    <row r="345" spans="1:14">
      <c r="A345" s="218"/>
      <c r="B345" s="226"/>
      <c r="C345" s="226"/>
      <c r="D345" s="226"/>
      <c r="E345" s="226"/>
      <c r="F345" s="226"/>
      <c r="G345" s="226"/>
      <c r="H345" s="226"/>
      <c r="I345" s="226"/>
      <c r="J345" s="226"/>
      <c r="K345" s="226"/>
      <c r="L345" s="212"/>
      <c r="M345" s="212"/>
      <c r="N345" s="212"/>
    </row>
    <row r="346" spans="1:14">
      <c r="A346" s="217" t="str">
        <f>name!B23</f>
        <v>Health and social work</v>
      </c>
      <c r="B346" s="347">
        <f>B$6</f>
        <v>2015</v>
      </c>
      <c r="C346" s="347"/>
      <c r="D346" s="347"/>
      <c r="E346" s="229"/>
      <c r="F346" s="347">
        <f>F329</f>
        <v>2020</v>
      </c>
      <c r="G346" s="347"/>
      <c r="H346" s="347"/>
      <c r="I346" s="229"/>
      <c r="J346" s="347">
        <f>J329</f>
        <v>2035</v>
      </c>
      <c r="K346" s="347"/>
      <c r="L346" s="347"/>
      <c r="M346" s="212"/>
      <c r="N346" s="212"/>
    </row>
    <row r="347" spans="1:14">
      <c r="A347" s="230"/>
      <c r="B347" s="231" t="s">
        <v>154</v>
      </c>
      <c r="C347" s="231" t="s">
        <v>155</v>
      </c>
      <c r="D347" s="231" t="s">
        <v>117</v>
      </c>
      <c r="E347" s="231"/>
      <c r="F347" s="231" t="s">
        <v>154</v>
      </c>
      <c r="G347" s="231" t="s">
        <v>155</v>
      </c>
      <c r="H347" s="231" t="s">
        <v>117</v>
      </c>
      <c r="I347" s="231"/>
      <c r="J347" s="231" t="s">
        <v>154</v>
      </c>
      <c r="K347" s="231" t="s">
        <v>155</v>
      </c>
      <c r="L347" s="231" t="s">
        <v>117</v>
      </c>
      <c r="M347" s="212"/>
      <c r="N347" s="212"/>
    </row>
    <row r="348" spans="1:14">
      <c r="A348" s="234"/>
      <c r="B348" s="235"/>
      <c r="C348" s="235"/>
      <c r="D348" s="235"/>
      <c r="E348" s="235"/>
      <c r="F348" s="235"/>
      <c r="G348" s="235"/>
      <c r="H348" s="235"/>
      <c r="I348" s="235"/>
      <c r="J348" s="235"/>
      <c r="K348" s="235"/>
      <c r="L348" s="235"/>
      <c r="M348" s="212"/>
      <c r="N348" s="212"/>
    </row>
    <row r="349" spans="1:14">
      <c r="A349" s="213" t="str">
        <f>name!E$4</f>
        <v>Managers, directors and senior officials</v>
      </c>
      <c r="B349" s="278">
        <v>1.4490498800660379</v>
      </c>
      <c r="C349" s="278">
        <v>0.9635005764731831</v>
      </c>
      <c r="D349" s="278">
        <f>SUM(B349:C349)</f>
        <v>2.4125504565392211</v>
      </c>
      <c r="E349" s="279"/>
      <c r="F349" s="278">
        <v>2.0277984005419842</v>
      </c>
      <c r="G349" s="278">
        <v>1.2284788735594938</v>
      </c>
      <c r="H349" s="278">
        <f>SUM(F349:G349)</f>
        <v>3.2562772741014783</v>
      </c>
      <c r="I349" s="279"/>
      <c r="J349" s="278">
        <v>2.3451465944135488</v>
      </c>
      <c r="K349" s="278">
        <v>1.2405013348078895</v>
      </c>
      <c r="L349" s="278">
        <f>SUM(J349:K349)</f>
        <v>3.5856479292214383</v>
      </c>
      <c r="M349" s="212"/>
      <c r="N349" s="212"/>
    </row>
    <row r="350" spans="1:14">
      <c r="A350" s="213" t="str">
        <f>name!E$5</f>
        <v>Professional occupations</v>
      </c>
      <c r="B350" s="278">
        <v>14.051839803206587</v>
      </c>
      <c r="C350" s="278">
        <v>4.6732826121631241</v>
      </c>
      <c r="D350" s="278">
        <f t="shared" ref="D350:D357" si="115">SUM(B350:C350)</f>
        <v>18.725122415369711</v>
      </c>
      <c r="E350" s="279"/>
      <c r="F350" s="278">
        <v>18.101336330586118</v>
      </c>
      <c r="G350" s="278">
        <v>6.3616004716481465</v>
      </c>
      <c r="H350" s="278">
        <f t="shared" ref="H350:H357" si="116">SUM(F350:G350)</f>
        <v>24.462936802234264</v>
      </c>
      <c r="I350" s="279"/>
      <c r="J350" s="278">
        <v>20.382416589617183</v>
      </c>
      <c r="K350" s="278">
        <v>6.7264095396232486</v>
      </c>
      <c r="L350" s="278">
        <f t="shared" ref="L350:L357" si="117">SUM(J350:K350)</f>
        <v>27.10882612924043</v>
      </c>
      <c r="M350" s="212"/>
      <c r="N350" s="212"/>
    </row>
    <row r="351" spans="1:14">
      <c r="A351" s="213" t="str">
        <f>name!E$6</f>
        <v>Associate professional occupations</v>
      </c>
      <c r="B351" s="278">
        <v>6.1066244103112401</v>
      </c>
      <c r="C351" s="278">
        <v>2.3878279931946307</v>
      </c>
      <c r="D351" s="278">
        <f t="shared" si="115"/>
        <v>8.4944524035058713</v>
      </c>
      <c r="E351" s="279"/>
      <c r="F351" s="278">
        <v>7.8118846034620839</v>
      </c>
      <c r="G351" s="278">
        <v>2.7017294392297626</v>
      </c>
      <c r="H351" s="278">
        <f t="shared" si="116"/>
        <v>10.513614042691847</v>
      </c>
      <c r="I351" s="279"/>
      <c r="J351" s="278">
        <v>14.326654951007967</v>
      </c>
      <c r="K351" s="278">
        <v>3.4746183798784562</v>
      </c>
      <c r="L351" s="278">
        <f t="shared" si="117"/>
        <v>17.801273330886424</v>
      </c>
      <c r="M351" s="212"/>
      <c r="N351" s="212"/>
    </row>
    <row r="352" spans="1:14">
      <c r="A352" s="213" t="str">
        <f>name!E$7</f>
        <v>Administrative and secretarial occupations</v>
      </c>
      <c r="B352" s="278">
        <v>5.0134902311467711</v>
      </c>
      <c r="C352" s="278">
        <v>0.79376221842600303</v>
      </c>
      <c r="D352" s="278">
        <f t="shared" si="115"/>
        <v>5.8072524495727738</v>
      </c>
      <c r="E352" s="279"/>
      <c r="F352" s="278">
        <v>5.164309599794386</v>
      </c>
      <c r="G352" s="278">
        <v>0.80523011111745424</v>
      </c>
      <c r="H352" s="278">
        <f t="shared" si="116"/>
        <v>5.9695397109118407</v>
      </c>
      <c r="I352" s="279"/>
      <c r="J352" s="278">
        <v>2.8511052257168541</v>
      </c>
      <c r="K352" s="278">
        <v>0.70865236847389534</v>
      </c>
      <c r="L352" s="278">
        <f t="shared" si="117"/>
        <v>3.5597575941907493</v>
      </c>
      <c r="M352" s="212"/>
      <c r="N352" s="212"/>
    </row>
    <row r="353" spans="1:14">
      <c r="A353" s="213" t="str">
        <f>name!E$8</f>
        <v>Skilled trades occupations</v>
      </c>
      <c r="B353" s="278">
        <v>0.32061830975705474</v>
      </c>
      <c r="C353" s="278">
        <v>0.56267364589639746</v>
      </c>
      <c r="D353" s="278">
        <f t="shared" si="115"/>
        <v>0.8832919556534522</v>
      </c>
      <c r="E353" s="279"/>
      <c r="F353" s="278">
        <v>0.29687934567897406</v>
      </c>
      <c r="G353" s="278">
        <v>0.54481316301177551</v>
      </c>
      <c r="H353" s="278">
        <f t="shared" si="116"/>
        <v>0.84169250869074963</v>
      </c>
      <c r="I353" s="279"/>
      <c r="J353" s="278">
        <v>0.16980005362747802</v>
      </c>
      <c r="K353" s="278">
        <v>0.51355326041159688</v>
      </c>
      <c r="L353" s="278">
        <f t="shared" si="117"/>
        <v>0.68335331403907484</v>
      </c>
      <c r="M353" s="212"/>
      <c r="N353" s="212"/>
    </row>
    <row r="354" spans="1:14">
      <c r="A354" s="213" t="str">
        <f>name!E$9</f>
        <v>Caring, leisure and other service occupations</v>
      </c>
      <c r="B354" s="278">
        <v>19.429486128759436</v>
      </c>
      <c r="C354" s="278">
        <v>2.3165294381964197</v>
      </c>
      <c r="D354" s="278">
        <f t="shared" si="115"/>
        <v>21.746015566955855</v>
      </c>
      <c r="E354" s="279"/>
      <c r="F354" s="278">
        <v>21.579081577898204</v>
      </c>
      <c r="G354" s="278">
        <v>2.4939361513164502</v>
      </c>
      <c r="H354" s="278">
        <f t="shared" si="116"/>
        <v>24.073017729214655</v>
      </c>
      <c r="I354" s="279"/>
      <c r="J354" s="278">
        <v>23.129765103808364</v>
      </c>
      <c r="K354" s="278">
        <v>3.3049079071780807</v>
      </c>
      <c r="L354" s="278">
        <f t="shared" si="117"/>
        <v>26.434673010986444</v>
      </c>
      <c r="M354" s="212"/>
      <c r="N354" s="212"/>
    </row>
    <row r="355" spans="1:14">
      <c r="A355" s="213" t="str">
        <f>name!E$10</f>
        <v>Sales and customer service occupations</v>
      </c>
      <c r="B355" s="278">
        <v>0.64549842978674687</v>
      </c>
      <c r="C355" s="278">
        <v>0.18085039917837517</v>
      </c>
      <c r="D355" s="278">
        <f t="shared" si="115"/>
        <v>0.82634882896512207</v>
      </c>
      <c r="E355" s="279"/>
      <c r="F355" s="278">
        <v>0.67877276276176957</v>
      </c>
      <c r="G355" s="278">
        <v>0.18434497378469622</v>
      </c>
      <c r="H355" s="278">
        <f t="shared" si="116"/>
        <v>0.86311773654646573</v>
      </c>
      <c r="I355" s="279"/>
      <c r="J355" s="278">
        <v>0.74266898973943762</v>
      </c>
      <c r="K355" s="278">
        <v>0.18314128967901316</v>
      </c>
      <c r="L355" s="278">
        <f t="shared" si="117"/>
        <v>0.92581027941845084</v>
      </c>
      <c r="M355" s="212"/>
      <c r="N355" s="212"/>
    </row>
    <row r="356" spans="1:14">
      <c r="A356" s="213" t="str">
        <f>name!E$11</f>
        <v>Process, plant and machine operatives</v>
      </c>
      <c r="B356" s="278">
        <v>6.3237396638064158E-2</v>
      </c>
      <c r="C356" s="278">
        <v>0.36332589084094435</v>
      </c>
      <c r="D356" s="278">
        <f t="shared" si="115"/>
        <v>0.42656328747900851</v>
      </c>
      <c r="E356" s="279"/>
      <c r="F356" s="278">
        <v>5.5968632900115355E-2</v>
      </c>
      <c r="G356" s="278">
        <v>0.35449869312604093</v>
      </c>
      <c r="H356" s="278">
        <f t="shared" si="116"/>
        <v>0.41046732602615627</v>
      </c>
      <c r="I356" s="279"/>
      <c r="J356" s="278">
        <v>3.2369168111072807E-2</v>
      </c>
      <c r="K356" s="278">
        <v>0.29515955565342233</v>
      </c>
      <c r="L356" s="278">
        <f t="shared" si="117"/>
        <v>0.32752872376449516</v>
      </c>
      <c r="M356" s="212"/>
      <c r="N356" s="212"/>
    </row>
    <row r="357" spans="1:14">
      <c r="A357" s="213" t="str">
        <f>name!E$12</f>
        <v>Elementary occupations</v>
      </c>
      <c r="B357" s="278">
        <v>1.0463755982937599</v>
      </c>
      <c r="C357" s="278">
        <v>0.49902703766533685</v>
      </c>
      <c r="D357" s="278">
        <f t="shared" si="115"/>
        <v>1.5454026359590967</v>
      </c>
      <c r="E357" s="279"/>
      <c r="F357" s="278">
        <v>0.9120804029559757</v>
      </c>
      <c r="G357" s="278">
        <v>0.46725646662654002</v>
      </c>
      <c r="H357" s="278">
        <f t="shared" si="116"/>
        <v>1.3793368695825157</v>
      </c>
      <c r="I357" s="279"/>
      <c r="J357" s="278">
        <v>0.29426881966556245</v>
      </c>
      <c r="K357" s="278">
        <v>0.48186086858698379</v>
      </c>
      <c r="L357" s="278">
        <f t="shared" si="117"/>
        <v>0.77612968825254625</v>
      </c>
      <c r="M357" s="212"/>
      <c r="N357" s="212"/>
    </row>
    <row r="358" spans="1:14">
      <c r="A358" s="213"/>
      <c r="B358" s="278"/>
      <c r="C358" s="278"/>
      <c r="D358" s="278"/>
      <c r="E358" s="279"/>
      <c r="F358" s="278"/>
      <c r="G358" s="278"/>
      <c r="H358" s="278"/>
      <c r="I358" s="279"/>
      <c r="J358" s="278"/>
      <c r="K358" s="278"/>
      <c r="L358" s="278"/>
      <c r="M358" s="212"/>
      <c r="N358" s="212"/>
    </row>
    <row r="359" spans="1:14">
      <c r="A359" s="220" t="s">
        <v>117</v>
      </c>
      <c r="B359" s="282">
        <f>SUM(B349:B357)</f>
        <v>48.1262201879657</v>
      </c>
      <c r="C359" s="282">
        <f t="shared" ref="C359:D359" si="118">SUM(C349:C357)</f>
        <v>12.740779812034416</v>
      </c>
      <c r="D359" s="282">
        <f t="shared" si="118"/>
        <v>60.867000000000118</v>
      </c>
      <c r="E359" s="282"/>
      <c r="F359" s="282">
        <f t="shared" ref="F359:H359" si="119">SUM(F349:F357)</f>
        <v>56.62811165657962</v>
      </c>
      <c r="G359" s="282">
        <f t="shared" si="119"/>
        <v>15.141888343420364</v>
      </c>
      <c r="H359" s="282">
        <f t="shared" si="119"/>
        <v>71.769999999999968</v>
      </c>
      <c r="I359" s="282"/>
      <c r="J359" s="282">
        <f t="shared" ref="J359:L359" si="120">SUM(J349:J357)</f>
        <v>64.274195495707474</v>
      </c>
      <c r="K359" s="282">
        <f t="shared" si="120"/>
        <v>16.928804504292586</v>
      </c>
      <c r="L359" s="282">
        <f t="shared" si="120"/>
        <v>81.203000000000074</v>
      </c>
      <c r="M359" s="212"/>
      <c r="N359" s="212"/>
    </row>
    <row r="360" spans="1:14">
      <c r="A360" s="213"/>
      <c r="B360" s="213"/>
      <c r="C360" s="213"/>
      <c r="D360" s="213"/>
      <c r="E360" s="213"/>
      <c r="F360" s="213"/>
      <c r="G360" s="213"/>
      <c r="H360" s="213"/>
      <c r="I360" s="213"/>
      <c r="J360" s="213"/>
      <c r="K360" s="213"/>
      <c r="L360" s="216"/>
      <c r="M360" s="212"/>
      <c r="N360" s="212"/>
    </row>
    <row r="361" spans="1:14">
      <c r="A361" s="213"/>
      <c r="B361" s="213"/>
      <c r="C361" s="213"/>
      <c r="D361" s="213"/>
      <c r="E361" s="213"/>
      <c r="F361" s="213"/>
      <c r="G361" s="213"/>
      <c r="H361" s="213"/>
      <c r="I361" s="213"/>
      <c r="J361" s="213"/>
      <c r="K361" s="213"/>
      <c r="L361" s="232" t="s">
        <v>112</v>
      </c>
      <c r="M361" s="212"/>
      <c r="N361" s="212"/>
    </row>
    <row r="362" spans="1:14">
      <c r="A362" s="218"/>
      <c r="B362" s="226"/>
      <c r="C362" s="226"/>
      <c r="D362" s="226"/>
      <c r="E362" s="226"/>
      <c r="F362" s="226"/>
      <c r="G362" s="226"/>
      <c r="H362" s="226"/>
      <c r="I362" s="226"/>
      <c r="J362" s="226"/>
      <c r="K362" s="226"/>
      <c r="L362" s="212"/>
      <c r="M362" s="212"/>
      <c r="N362" s="212"/>
    </row>
    <row r="363" spans="1:14">
      <c r="A363" s="217" t="str">
        <f>name!B24</f>
        <v>Arts and entertainment</v>
      </c>
      <c r="B363" s="347">
        <f>B$6</f>
        <v>2015</v>
      </c>
      <c r="C363" s="347"/>
      <c r="D363" s="347"/>
      <c r="E363" s="229"/>
      <c r="F363" s="347">
        <f>F346</f>
        <v>2020</v>
      </c>
      <c r="G363" s="347"/>
      <c r="H363" s="347"/>
      <c r="I363" s="229"/>
      <c r="J363" s="347">
        <f>J346</f>
        <v>2035</v>
      </c>
      <c r="K363" s="347"/>
      <c r="L363" s="347"/>
      <c r="M363" s="212"/>
      <c r="N363" s="212"/>
    </row>
    <row r="364" spans="1:14">
      <c r="A364" s="230"/>
      <c r="B364" s="231" t="s">
        <v>154</v>
      </c>
      <c r="C364" s="231" t="s">
        <v>155</v>
      </c>
      <c r="D364" s="231" t="s">
        <v>117</v>
      </c>
      <c r="E364" s="231"/>
      <c r="F364" s="231" t="s">
        <v>154</v>
      </c>
      <c r="G364" s="231" t="s">
        <v>155</v>
      </c>
      <c r="H364" s="231" t="s">
        <v>117</v>
      </c>
      <c r="I364" s="231"/>
      <c r="J364" s="231" t="s">
        <v>154</v>
      </c>
      <c r="K364" s="231" t="s">
        <v>155</v>
      </c>
      <c r="L364" s="231" t="s">
        <v>117</v>
      </c>
      <c r="M364" s="212"/>
      <c r="N364" s="212"/>
    </row>
    <row r="365" spans="1:14">
      <c r="A365" s="234"/>
      <c r="B365" s="235"/>
      <c r="C365" s="235"/>
      <c r="D365" s="235"/>
      <c r="E365" s="235"/>
      <c r="F365" s="235"/>
      <c r="G365" s="235"/>
      <c r="H365" s="235"/>
      <c r="I365" s="235"/>
      <c r="J365" s="235"/>
      <c r="K365" s="235"/>
      <c r="L365" s="235"/>
      <c r="M365" s="212"/>
      <c r="N365" s="212"/>
    </row>
    <row r="366" spans="1:14">
      <c r="A366" s="213" t="str">
        <f>name!E$4</f>
        <v>Managers, directors and senior officials</v>
      </c>
      <c r="B366" s="278">
        <v>0.31311895696372277</v>
      </c>
      <c r="C366" s="278">
        <v>0.51856837886837615</v>
      </c>
      <c r="D366" s="278">
        <f>SUM(B366:C366)</f>
        <v>0.83168733583209886</v>
      </c>
      <c r="E366" s="279"/>
      <c r="F366" s="278">
        <v>0.39282782994488635</v>
      </c>
      <c r="G366" s="278">
        <v>0.56294938487133406</v>
      </c>
      <c r="H366" s="278">
        <f>SUM(F366:G366)</f>
        <v>0.95577721481622047</v>
      </c>
      <c r="I366" s="279"/>
      <c r="J366" s="278">
        <v>0.39927355181698926</v>
      </c>
      <c r="K366" s="278">
        <v>0.57604180495515489</v>
      </c>
      <c r="L366" s="278">
        <f>SUM(J366:K366)</f>
        <v>0.9753153567721442</v>
      </c>
      <c r="M366" s="212"/>
      <c r="N366" s="212"/>
    </row>
    <row r="367" spans="1:14">
      <c r="A367" s="213" t="str">
        <f>name!E$5</f>
        <v>Professional occupations</v>
      </c>
      <c r="B367" s="278">
        <v>0.6614662900963203</v>
      </c>
      <c r="C367" s="278">
        <v>0.97341615090031086</v>
      </c>
      <c r="D367" s="278">
        <f t="shared" ref="D367:D374" si="121">SUM(B367:C367)</f>
        <v>1.6348824409966312</v>
      </c>
      <c r="E367" s="279"/>
      <c r="F367" s="278">
        <v>0.88640655003141533</v>
      </c>
      <c r="G367" s="278">
        <v>1.1122249809727842</v>
      </c>
      <c r="H367" s="278">
        <f t="shared" ref="H367:H374" si="122">SUM(F367:G367)</f>
        <v>1.9986315310041995</v>
      </c>
      <c r="I367" s="279"/>
      <c r="J367" s="278">
        <v>1.0125516978822529</v>
      </c>
      <c r="K367" s="278">
        <v>1.3563174475267836</v>
      </c>
      <c r="L367" s="278">
        <f t="shared" ref="L367:L374" si="123">SUM(J367:K367)</f>
        <v>2.3688691454090365</v>
      </c>
      <c r="M367" s="212"/>
      <c r="N367" s="212"/>
    </row>
    <row r="368" spans="1:14">
      <c r="A368" s="213" t="str">
        <f>name!E$6</f>
        <v>Associate professional occupations</v>
      </c>
      <c r="B368" s="278">
        <v>1.2711560687196597</v>
      </c>
      <c r="C368" s="278">
        <v>2.2119151003721722</v>
      </c>
      <c r="D368" s="278">
        <f t="shared" si="121"/>
        <v>3.4830711690918319</v>
      </c>
      <c r="E368" s="279"/>
      <c r="F368" s="278">
        <v>1.3592641785708914</v>
      </c>
      <c r="G368" s="278">
        <v>2.3678928880353713</v>
      </c>
      <c r="H368" s="278">
        <f t="shared" si="122"/>
        <v>3.7271570666062628</v>
      </c>
      <c r="I368" s="279"/>
      <c r="J368" s="278">
        <v>1.3747833576698163</v>
      </c>
      <c r="K368" s="278">
        <v>2.1980079300304043</v>
      </c>
      <c r="L368" s="278">
        <f t="shared" si="123"/>
        <v>3.5727912877002206</v>
      </c>
      <c r="M368" s="212"/>
      <c r="N368" s="212"/>
    </row>
    <row r="369" spans="1:14">
      <c r="A369" s="213" t="str">
        <f>name!E$7</f>
        <v>Administrative and secretarial occupations</v>
      </c>
      <c r="B369" s="278">
        <v>1.3069797124162315</v>
      </c>
      <c r="C369" s="278">
        <v>0.48958774100907865</v>
      </c>
      <c r="D369" s="278">
        <f t="shared" si="121"/>
        <v>1.7965674534253102</v>
      </c>
      <c r="E369" s="279"/>
      <c r="F369" s="278">
        <v>1.3243912347776476</v>
      </c>
      <c r="G369" s="278">
        <v>0.45549693144332754</v>
      </c>
      <c r="H369" s="278">
        <f t="shared" si="122"/>
        <v>1.7798881662209751</v>
      </c>
      <c r="I369" s="279"/>
      <c r="J369" s="278">
        <v>1.2966953624591893</v>
      </c>
      <c r="K369" s="278">
        <v>0.50895067494342716</v>
      </c>
      <c r="L369" s="278">
        <f t="shared" si="123"/>
        <v>1.8056460374026164</v>
      </c>
      <c r="M369" s="212"/>
      <c r="N369" s="212"/>
    </row>
    <row r="370" spans="1:14">
      <c r="A370" s="213" t="str">
        <f>name!E$8</f>
        <v>Skilled trades occupations</v>
      </c>
      <c r="B370" s="278">
        <v>0.21733955626338303</v>
      </c>
      <c r="C370" s="278">
        <v>0.44337757536417244</v>
      </c>
      <c r="D370" s="278">
        <f t="shared" si="121"/>
        <v>0.66071713162755552</v>
      </c>
      <c r="E370" s="279"/>
      <c r="F370" s="278">
        <v>0.21167814850535729</v>
      </c>
      <c r="G370" s="278">
        <v>0.32712586839113977</v>
      </c>
      <c r="H370" s="278">
        <f t="shared" si="122"/>
        <v>0.53880401689649704</v>
      </c>
      <c r="I370" s="279"/>
      <c r="J370" s="278">
        <v>0.2337092189148218</v>
      </c>
      <c r="K370" s="278">
        <v>0.24468220355836878</v>
      </c>
      <c r="L370" s="278">
        <f t="shared" si="123"/>
        <v>0.47839142247319055</v>
      </c>
      <c r="M370" s="212"/>
      <c r="N370" s="212"/>
    </row>
    <row r="371" spans="1:14">
      <c r="A371" s="213" t="str">
        <f>name!E$9</f>
        <v>Caring, leisure and other service occupations</v>
      </c>
      <c r="B371" s="278">
        <v>0.91049854924654283</v>
      </c>
      <c r="C371" s="278">
        <v>0.45984567235940532</v>
      </c>
      <c r="D371" s="278">
        <f t="shared" si="121"/>
        <v>1.370344221605948</v>
      </c>
      <c r="E371" s="279"/>
      <c r="F371" s="278">
        <v>0.79561472453559212</v>
      </c>
      <c r="G371" s="278">
        <v>0.37106269180281659</v>
      </c>
      <c r="H371" s="278">
        <f t="shared" si="122"/>
        <v>1.1666774163384086</v>
      </c>
      <c r="I371" s="279"/>
      <c r="J371" s="278">
        <v>0.64954293495133975</v>
      </c>
      <c r="K371" s="278">
        <v>0.42189415052415014</v>
      </c>
      <c r="L371" s="278">
        <f t="shared" si="123"/>
        <v>1.0714370854754898</v>
      </c>
      <c r="M371" s="212"/>
      <c r="N371" s="212"/>
    </row>
    <row r="372" spans="1:14">
      <c r="A372" s="213" t="str">
        <f>name!E$10</f>
        <v>Sales and customer service occupations</v>
      </c>
      <c r="B372" s="278">
        <v>0.36556685132165029</v>
      </c>
      <c r="C372" s="278">
        <v>0.45354199786957405</v>
      </c>
      <c r="D372" s="278">
        <f t="shared" si="121"/>
        <v>0.8191088491912244</v>
      </c>
      <c r="E372" s="279"/>
      <c r="F372" s="278">
        <v>0.36064692598143094</v>
      </c>
      <c r="G372" s="278">
        <v>0.36796063416691926</v>
      </c>
      <c r="H372" s="278">
        <f t="shared" si="122"/>
        <v>0.72860756014835015</v>
      </c>
      <c r="I372" s="279"/>
      <c r="J372" s="278">
        <v>0.37335298415809659</v>
      </c>
      <c r="K372" s="278">
        <v>0.48927399742171429</v>
      </c>
      <c r="L372" s="278">
        <f t="shared" si="123"/>
        <v>0.86262698157981088</v>
      </c>
      <c r="M372" s="212"/>
      <c r="N372" s="212"/>
    </row>
    <row r="373" spans="1:14">
      <c r="A373" s="213" t="str">
        <f>name!E$11</f>
        <v>Process, plant and machine operatives</v>
      </c>
      <c r="B373" s="278">
        <v>1.2841367324436167E-2</v>
      </c>
      <c r="C373" s="278">
        <v>0.10232609211042357</v>
      </c>
      <c r="D373" s="278">
        <f t="shared" si="121"/>
        <v>0.11516745943485973</v>
      </c>
      <c r="E373" s="279"/>
      <c r="F373" s="278">
        <v>1.0708407257350405E-2</v>
      </c>
      <c r="G373" s="278">
        <v>7.9012311316898134E-2</v>
      </c>
      <c r="H373" s="278">
        <f t="shared" si="122"/>
        <v>8.9720718574248542E-2</v>
      </c>
      <c r="I373" s="279"/>
      <c r="J373" s="278">
        <v>1.4637466822913701E-2</v>
      </c>
      <c r="K373" s="278">
        <v>7.0688879644922334E-2</v>
      </c>
      <c r="L373" s="278">
        <f t="shared" si="123"/>
        <v>8.5326346467836031E-2</v>
      </c>
      <c r="M373" s="212"/>
      <c r="N373" s="212"/>
    </row>
    <row r="374" spans="1:14">
      <c r="A374" s="213" t="str">
        <f>name!E$12</f>
        <v>Elementary occupations</v>
      </c>
      <c r="B374" s="278">
        <v>0.68432679824211939</v>
      </c>
      <c r="C374" s="278">
        <v>0.50612714055243813</v>
      </c>
      <c r="D374" s="278">
        <f t="shared" si="121"/>
        <v>1.1904539387945574</v>
      </c>
      <c r="E374" s="279"/>
      <c r="F374" s="278">
        <v>0.5830910800522412</v>
      </c>
      <c r="G374" s="278">
        <v>0.341645229342594</v>
      </c>
      <c r="H374" s="278">
        <f t="shared" si="122"/>
        <v>0.9247363093948352</v>
      </c>
      <c r="I374" s="279"/>
      <c r="J374" s="278">
        <v>0.42446963296554518</v>
      </c>
      <c r="K374" s="278">
        <v>0.30812670375410628</v>
      </c>
      <c r="L374" s="278">
        <f t="shared" si="123"/>
        <v>0.73259633671965152</v>
      </c>
      <c r="M374" s="212"/>
      <c r="N374" s="212"/>
    </row>
    <row r="375" spans="1:14">
      <c r="A375" s="213"/>
      <c r="B375" s="278"/>
      <c r="C375" s="278"/>
      <c r="D375" s="278"/>
      <c r="E375" s="279"/>
      <c r="F375" s="278"/>
      <c r="G375" s="278"/>
      <c r="H375" s="278"/>
      <c r="I375" s="279"/>
      <c r="J375" s="278"/>
      <c r="K375" s="278"/>
      <c r="L375" s="278"/>
      <c r="M375" s="212"/>
      <c r="N375" s="212"/>
    </row>
    <row r="376" spans="1:14">
      <c r="A376" s="220" t="s">
        <v>117</v>
      </c>
      <c r="B376" s="282">
        <f>SUM(B366:B374)</f>
        <v>5.7432941505940649</v>
      </c>
      <c r="C376" s="282">
        <f t="shared" ref="C376:D376" si="124">SUM(C366:C374)</f>
        <v>6.1587058494059512</v>
      </c>
      <c r="D376" s="282">
        <f t="shared" si="124"/>
        <v>11.902000000000015</v>
      </c>
      <c r="E376" s="282"/>
      <c r="F376" s="282">
        <f t="shared" ref="F376:H376" si="125">SUM(F366:F374)</f>
        <v>5.9246290796568131</v>
      </c>
      <c r="G376" s="282">
        <f t="shared" si="125"/>
        <v>5.9853709203431844</v>
      </c>
      <c r="H376" s="282">
        <f t="shared" si="125"/>
        <v>11.909999999999997</v>
      </c>
      <c r="I376" s="282"/>
      <c r="J376" s="282">
        <f t="shared" ref="J376:L376" si="126">SUM(J366:J374)</f>
        <v>5.7790162076409652</v>
      </c>
      <c r="K376" s="282">
        <f t="shared" si="126"/>
        <v>6.1739837923590315</v>
      </c>
      <c r="L376" s="282">
        <f t="shared" si="126"/>
        <v>11.952999999999998</v>
      </c>
      <c r="M376" s="212"/>
      <c r="N376" s="212"/>
    </row>
    <row r="377" spans="1:14">
      <c r="A377" s="213"/>
      <c r="B377" s="213"/>
      <c r="C377" s="213"/>
      <c r="D377" s="213"/>
      <c r="E377" s="213"/>
      <c r="F377" s="213"/>
      <c r="G377" s="213"/>
      <c r="H377" s="213"/>
      <c r="I377" s="213"/>
      <c r="J377" s="213"/>
      <c r="K377" s="213"/>
      <c r="L377" s="216"/>
      <c r="M377" s="212"/>
      <c r="N377" s="212"/>
    </row>
    <row r="378" spans="1:14">
      <c r="A378" s="213"/>
      <c r="B378" s="213"/>
      <c r="C378" s="213"/>
      <c r="D378" s="213"/>
      <c r="E378" s="213"/>
      <c r="F378" s="213"/>
      <c r="G378" s="213"/>
      <c r="H378" s="213"/>
      <c r="I378" s="213"/>
      <c r="J378" s="213"/>
      <c r="K378" s="213"/>
      <c r="L378" s="232" t="s">
        <v>112</v>
      </c>
      <c r="M378" s="212"/>
      <c r="N378" s="212"/>
    </row>
    <row r="379" spans="1:14">
      <c r="A379" s="218"/>
      <c r="B379" s="226"/>
      <c r="C379" s="226"/>
      <c r="D379" s="226"/>
      <c r="E379" s="226"/>
      <c r="F379" s="226"/>
      <c r="G379" s="226"/>
      <c r="H379" s="226"/>
      <c r="I379" s="226"/>
      <c r="J379" s="226"/>
      <c r="K379" s="226"/>
      <c r="L379" s="212"/>
      <c r="M379" s="212"/>
      <c r="N379" s="212"/>
    </row>
    <row r="380" spans="1:14">
      <c r="A380" s="217" t="str">
        <f>name!B25</f>
        <v>Other services</v>
      </c>
      <c r="B380" s="347">
        <f>B$6</f>
        <v>2015</v>
      </c>
      <c r="C380" s="347"/>
      <c r="D380" s="347"/>
      <c r="E380" s="229"/>
      <c r="F380" s="347">
        <f>F363</f>
        <v>2020</v>
      </c>
      <c r="G380" s="347"/>
      <c r="H380" s="347"/>
      <c r="I380" s="229"/>
      <c r="J380" s="347">
        <f>J363</f>
        <v>2035</v>
      </c>
      <c r="K380" s="347"/>
      <c r="L380" s="347"/>
      <c r="M380" s="212"/>
      <c r="N380" s="212"/>
    </row>
    <row r="381" spans="1:14">
      <c r="A381" s="230"/>
      <c r="B381" s="231" t="s">
        <v>154</v>
      </c>
      <c r="C381" s="231" t="s">
        <v>155</v>
      </c>
      <c r="D381" s="231" t="s">
        <v>117</v>
      </c>
      <c r="E381" s="231"/>
      <c r="F381" s="231" t="s">
        <v>154</v>
      </c>
      <c r="G381" s="231" t="s">
        <v>155</v>
      </c>
      <c r="H381" s="231" t="s">
        <v>117</v>
      </c>
      <c r="I381" s="231"/>
      <c r="J381" s="231" t="s">
        <v>154</v>
      </c>
      <c r="K381" s="231" t="s">
        <v>155</v>
      </c>
      <c r="L381" s="231" t="s">
        <v>117</v>
      </c>
      <c r="M381" s="212"/>
      <c r="N381" s="212"/>
    </row>
    <row r="382" spans="1:14">
      <c r="A382" s="234"/>
      <c r="B382" s="235"/>
      <c r="C382" s="235"/>
      <c r="D382" s="235"/>
      <c r="E382" s="235"/>
      <c r="F382" s="235"/>
      <c r="G382" s="235"/>
      <c r="H382" s="235"/>
      <c r="I382" s="235"/>
      <c r="J382" s="235"/>
      <c r="K382" s="235"/>
      <c r="L382" s="235"/>
      <c r="M382" s="212"/>
      <c r="N382" s="212"/>
    </row>
    <row r="383" spans="1:14">
      <c r="A383" s="213" t="str">
        <f>name!E$4</f>
        <v>Managers, directors and senior officials</v>
      </c>
      <c r="B383" s="278">
        <v>0.54134445827138755</v>
      </c>
      <c r="C383" s="278">
        <v>0.7540522761496693</v>
      </c>
      <c r="D383" s="278">
        <f>SUM(B383:C383)</f>
        <v>1.2953967344210569</v>
      </c>
      <c r="E383" s="279"/>
      <c r="F383" s="278">
        <v>0.62194489203635794</v>
      </c>
      <c r="G383" s="278">
        <v>0.54947990136310221</v>
      </c>
      <c r="H383" s="278">
        <f>SUM(F383:G383)</f>
        <v>1.1714247933994602</v>
      </c>
      <c r="I383" s="279"/>
      <c r="J383" s="278">
        <v>0.58340550418512593</v>
      </c>
      <c r="K383" s="278">
        <v>0.54561747937915217</v>
      </c>
      <c r="L383" s="278">
        <f>SUM(J383:K383)</f>
        <v>1.129022983564278</v>
      </c>
      <c r="M383" s="212"/>
      <c r="N383" s="212"/>
    </row>
    <row r="384" spans="1:14">
      <c r="A384" s="213" t="str">
        <f>name!E$5</f>
        <v>Professional occupations</v>
      </c>
      <c r="B384" s="278">
        <v>1.2153757628007533</v>
      </c>
      <c r="C384" s="278">
        <v>1.4373401174058167</v>
      </c>
      <c r="D384" s="278">
        <f t="shared" ref="D384:D391" si="127">SUM(B384:C384)</f>
        <v>2.65271588020657</v>
      </c>
      <c r="E384" s="279"/>
      <c r="F384" s="278">
        <v>1.609895549356499</v>
      </c>
      <c r="G384" s="278">
        <v>1.3081551109070901</v>
      </c>
      <c r="H384" s="278">
        <f t="shared" ref="H384:H391" si="128">SUM(F384:G384)</f>
        <v>2.9180506602635892</v>
      </c>
      <c r="I384" s="279"/>
      <c r="J384" s="278">
        <v>1.6965241034320695</v>
      </c>
      <c r="K384" s="278">
        <v>1.5369963174385517</v>
      </c>
      <c r="L384" s="278">
        <f t="shared" ref="L384:L391" si="129">SUM(J384:K384)</f>
        <v>3.2335204208706214</v>
      </c>
      <c r="M384" s="212"/>
      <c r="N384" s="212"/>
    </row>
    <row r="385" spans="1:14">
      <c r="A385" s="213" t="str">
        <f>name!E$6</f>
        <v>Associate professional occupations</v>
      </c>
      <c r="B385" s="278">
        <v>1.0587541488961416</v>
      </c>
      <c r="C385" s="278">
        <v>0.9028469529245774</v>
      </c>
      <c r="D385" s="278">
        <f t="shared" si="127"/>
        <v>1.9616011018207189</v>
      </c>
      <c r="E385" s="279"/>
      <c r="F385" s="278">
        <v>1.1691095359783805</v>
      </c>
      <c r="G385" s="278">
        <v>0.73573931982760188</v>
      </c>
      <c r="H385" s="278">
        <f t="shared" si="128"/>
        <v>1.9048488558059824</v>
      </c>
      <c r="I385" s="279"/>
      <c r="J385" s="278">
        <v>1.2737320319216208</v>
      </c>
      <c r="K385" s="278">
        <v>0.76784932613611501</v>
      </c>
      <c r="L385" s="278">
        <f t="shared" si="129"/>
        <v>2.0415813580577358</v>
      </c>
      <c r="M385" s="212"/>
      <c r="N385" s="212"/>
    </row>
    <row r="386" spans="1:14">
      <c r="A386" s="213" t="str">
        <f>name!E$7</f>
        <v>Administrative and secretarial occupations</v>
      </c>
      <c r="B386" s="278">
        <v>1.450811923217715</v>
      </c>
      <c r="C386" s="278">
        <v>0.37993057427214971</v>
      </c>
      <c r="D386" s="278">
        <f t="shared" si="127"/>
        <v>1.8307424974898647</v>
      </c>
      <c r="E386" s="279"/>
      <c r="F386" s="278">
        <v>1.3255476141016018</v>
      </c>
      <c r="G386" s="278">
        <v>0.328646035944197</v>
      </c>
      <c r="H386" s="278">
        <f t="shared" si="128"/>
        <v>1.6541936500457988</v>
      </c>
      <c r="I386" s="279"/>
      <c r="J386" s="278">
        <v>1.2890237657122048</v>
      </c>
      <c r="K386" s="278">
        <v>0.34574616004886832</v>
      </c>
      <c r="L386" s="278">
        <f t="shared" si="129"/>
        <v>1.6347699257610731</v>
      </c>
      <c r="M386" s="212"/>
      <c r="N386" s="212"/>
    </row>
    <row r="387" spans="1:14">
      <c r="A387" s="213" t="str">
        <f>name!E$8</f>
        <v>Skilled trades occupations</v>
      </c>
      <c r="B387" s="278">
        <v>0.1700675865371041</v>
      </c>
      <c r="C387" s="278">
        <v>0.38141705786085583</v>
      </c>
      <c r="D387" s="278">
        <f t="shared" si="127"/>
        <v>0.55148464439795997</v>
      </c>
      <c r="E387" s="279"/>
      <c r="F387" s="278">
        <v>0.1647110630695521</v>
      </c>
      <c r="G387" s="278">
        <v>0.18938347421820886</v>
      </c>
      <c r="H387" s="278">
        <f t="shared" si="128"/>
        <v>0.35409453728776097</v>
      </c>
      <c r="I387" s="279"/>
      <c r="J387" s="278">
        <v>0.22178028102897582</v>
      </c>
      <c r="K387" s="278">
        <v>0.16390079663182519</v>
      </c>
      <c r="L387" s="278">
        <f t="shared" si="129"/>
        <v>0.38568107766080101</v>
      </c>
      <c r="M387" s="212"/>
      <c r="N387" s="212"/>
    </row>
    <row r="388" spans="1:14">
      <c r="A388" s="213" t="str">
        <f>name!E$9</f>
        <v>Caring, leisure and other service occupations</v>
      </c>
      <c r="B388" s="278">
        <v>4.529298802926359</v>
      </c>
      <c r="C388" s="278">
        <v>1.0235981419484894</v>
      </c>
      <c r="D388" s="278">
        <f t="shared" si="127"/>
        <v>5.5528969448748482</v>
      </c>
      <c r="E388" s="279"/>
      <c r="F388" s="278">
        <v>2.7400498373936979</v>
      </c>
      <c r="G388" s="278">
        <v>0.58684084510365997</v>
      </c>
      <c r="H388" s="278">
        <f t="shared" si="128"/>
        <v>3.3268906824973579</v>
      </c>
      <c r="I388" s="279"/>
      <c r="J388" s="278">
        <v>2.2742169657539044</v>
      </c>
      <c r="K388" s="278">
        <v>0.52519167636753483</v>
      </c>
      <c r="L388" s="278">
        <f t="shared" si="129"/>
        <v>2.7994086421214393</v>
      </c>
      <c r="M388" s="212"/>
      <c r="N388" s="212"/>
    </row>
    <row r="389" spans="1:14">
      <c r="A389" s="213" t="str">
        <f>name!E$10</f>
        <v>Sales and customer service occupations</v>
      </c>
      <c r="B389" s="278">
        <v>0.35364458563615836</v>
      </c>
      <c r="C389" s="278">
        <v>0.33834908969113842</v>
      </c>
      <c r="D389" s="278">
        <f t="shared" si="127"/>
        <v>0.69199367532729683</v>
      </c>
      <c r="E389" s="279"/>
      <c r="F389" s="278">
        <v>0.25362683462380203</v>
      </c>
      <c r="G389" s="278">
        <v>0.22001348130636808</v>
      </c>
      <c r="H389" s="278">
        <f t="shared" si="128"/>
        <v>0.47364031593017009</v>
      </c>
      <c r="I389" s="279"/>
      <c r="J389" s="278">
        <v>0.22257562218102867</v>
      </c>
      <c r="K389" s="278">
        <v>0.25507962355531788</v>
      </c>
      <c r="L389" s="278">
        <f t="shared" si="129"/>
        <v>0.47765524573634655</v>
      </c>
      <c r="M389" s="212"/>
      <c r="N389" s="212"/>
    </row>
    <row r="390" spans="1:14">
      <c r="A390" s="213" t="str">
        <f>name!E$11</f>
        <v>Process, plant and machine operatives</v>
      </c>
      <c r="B390" s="278">
        <v>6.3559993924698618E-2</v>
      </c>
      <c r="C390" s="278">
        <v>0.31009140059019796</v>
      </c>
      <c r="D390" s="278">
        <f t="shared" si="127"/>
        <v>0.3736513945148966</v>
      </c>
      <c r="E390" s="279"/>
      <c r="F390" s="278">
        <v>6.117630516492082E-2</v>
      </c>
      <c r="G390" s="278">
        <v>0.15913236618069873</v>
      </c>
      <c r="H390" s="278">
        <f t="shared" si="128"/>
        <v>0.22030867134561954</v>
      </c>
      <c r="I390" s="279"/>
      <c r="J390" s="278">
        <v>4.8642414226454135E-2</v>
      </c>
      <c r="K390" s="278">
        <v>0.11337952840962336</v>
      </c>
      <c r="L390" s="278">
        <f t="shared" si="129"/>
        <v>0.1620219426360775</v>
      </c>
      <c r="M390" s="212"/>
      <c r="N390" s="212"/>
    </row>
    <row r="391" spans="1:14">
      <c r="A391" s="213" t="str">
        <f>name!E$12</f>
        <v>Elementary occupations</v>
      </c>
      <c r="B391" s="278">
        <v>0.73358189390705197</v>
      </c>
      <c r="C391" s="278">
        <v>0.77993523303973633</v>
      </c>
      <c r="D391" s="278">
        <f t="shared" si="127"/>
        <v>1.5135171269467884</v>
      </c>
      <c r="E391" s="279"/>
      <c r="F391" s="278">
        <v>0.54397204034279567</v>
      </c>
      <c r="G391" s="278">
        <v>0.3795757930814776</v>
      </c>
      <c r="H391" s="278">
        <f t="shared" si="128"/>
        <v>0.92354783342427327</v>
      </c>
      <c r="I391" s="279"/>
      <c r="J391" s="278">
        <v>0.34926564676351191</v>
      </c>
      <c r="K391" s="278">
        <v>0.38207275682809871</v>
      </c>
      <c r="L391" s="278">
        <f t="shared" si="129"/>
        <v>0.73133840359161062</v>
      </c>
      <c r="M391" s="212"/>
      <c r="N391" s="212"/>
    </row>
    <row r="392" spans="1:14">
      <c r="A392" s="213"/>
      <c r="B392" s="278"/>
      <c r="C392" s="278"/>
      <c r="D392" s="278"/>
      <c r="E392" s="279"/>
      <c r="F392" s="278"/>
      <c r="G392" s="278"/>
      <c r="H392" s="278"/>
      <c r="I392" s="279"/>
      <c r="J392" s="278"/>
      <c r="K392" s="278"/>
      <c r="L392" s="278"/>
      <c r="M392" s="212"/>
      <c r="N392" s="212"/>
    </row>
    <row r="393" spans="1:14">
      <c r="A393" s="220" t="s">
        <v>117</v>
      </c>
      <c r="B393" s="282">
        <f>SUM(B383:B391)</f>
        <v>10.116439156117369</v>
      </c>
      <c r="C393" s="282">
        <f t="shared" ref="C393:D393" si="130">SUM(C383:C391)</f>
        <v>6.3075608438826309</v>
      </c>
      <c r="D393" s="282">
        <f t="shared" si="130"/>
        <v>16.423999999999999</v>
      </c>
      <c r="E393" s="282"/>
      <c r="F393" s="282">
        <f t="shared" ref="F393:H393" si="131">SUM(F383:F391)</f>
        <v>8.4900336720676073</v>
      </c>
      <c r="G393" s="282">
        <f t="shared" si="131"/>
        <v>4.4569663279324052</v>
      </c>
      <c r="H393" s="282">
        <f t="shared" si="131"/>
        <v>12.947000000000015</v>
      </c>
      <c r="I393" s="282"/>
      <c r="J393" s="282">
        <f t="shared" ref="J393:L393" si="132">SUM(J383:J391)</f>
        <v>7.9591663352048956</v>
      </c>
      <c r="K393" s="282">
        <f t="shared" si="132"/>
        <v>4.6358336647950873</v>
      </c>
      <c r="L393" s="282">
        <f t="shared" si="132"/>
        <v>12.594999999999985</v>
      </c>
      <c r="M393" s="212"/>
      <c r="N393" s="212"/>
    </row>
    <row r="394" spans="1:14">
      <c r="A394" s="213"/>
      <c r="B394" s="213"/>
      <c r="C394" s="213"/>
      <c r="D394" s="213"/>
      <c r="E394" s="213"/>
      <c r="F394" s="213"/>
      <c r="G394" s="213"/>
      <c r="H394" s="213"/>
      <c r="I394" s="213"/>
      <c r="J394" s="213"/>
      <c r="K394" s="213"/>
      <c r="L394" s="216"/>
      <c r="M394" s="212"/>
      <c r="N394" s="212"/>
    </row>
  </sheetData>
  <mergeCells count="69"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  <mergeCell ref="B278:D278"/>
    <mergeCell ref="F278:H278"/>
    <mergeCell ref="J278:L278"/>
    <mergeCell ref="B295:D295"/>
    <mergeCell ref="F295:H295"/>
    <mergeCell ref="J295:L295"/>
    <mergeCell ref="B312:D312"/>
    <mergeCell ref="F312:H312"/>
    <mergeCell ref="J312:L312"/>
    <mergeCell ref="B329:D329"/>
    <mergeCell ref="F329:H329"/>
    <mergeCell ref="J329:L329"/>
    <mergeCell ref="B210:D210"/>
    <mergeCell ref="F210:H210"/>
    <mergeCell ref="J210:L210"/>
    <mergeCell ref="B227:D227"/>
    <mergeCell ref="F227:H227"/>
    <mergeCell ref="J227:L227"/>
    <mergeCell ref="B244:D244"/>
    <mergeCell ref="F244:H244"/>
    <mergeCell ref="J244:L244"/>
    <mergeCell ref="B261:D261"/>
    <mergeCell ref="F261:H261"/>
    <mergeCell ref="J261:L261"/>
    <mergeCell ref="B142:D142"/>
    <mergeCell ref="F142:H142"/>
    <mergeCell ref="J142:L142"/>
    <mergeCell ref="B159:D159"/>
    <mergeCell ref="F159:H159"/>
    <mergeCell ref="J159:L159"/>
    <mergeCell ref="B176:D176"/>
    <mergeCell ref="F176:H176"/>
    <mergeCell ref="J176:L176"/>
    <mergeCell ref="B193:D193"/>
    <mergeCell ref="F193:H193"/>
    <mergeCell ref="J193:L193"/>
    <mergeCell ref="B74:D74"/>
    <mergeCell ref="F74:H74"/>
    <mergeCell ref="J74:L74"/>
    <mergeCell ref="B91:D91"/>
    <mergeCell ref="F91:H91"/>
    <mergeCell ref="J91:L91"/>
    <mergeCell ref="B108:D108"/>
    <mergeCell ref="F108:H108"/>
    <mergeCell ref="J108:L108"/>
    <mergeCell ref="B125:D125"/>
    <mergeCell ref="F125:H125"/>
    <mergeCell ref="J125:L125"/>
    <mergeCell ref="B6:D6"/>
    <mergeCell ref="F6:H6"/>
    <mergeCell ref="J6:L6"/>
    <mergeCell ref="B23:D23"/>
    <mergeCell ref="F23:H23"/>
    <mergeCell ref="J23:L23"/>
    <mergeCell ref="B40:D40"/>
    <mergeCell ref="F40:H40"/>
    <mergeCell ref="J40:L40"/>
    <mergeCell ref="B57:D57"/>
    <mergeCell ref="F57:H57"/>
    <mergeCell ref="J57:L57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>
      <c r="A1" s="18" t="str">
        <f>CONCATENATE("Industry and Occupation Table 2  Occupation composition (SOC2020) by employment status, ",B$6,"-",L$6,", ",Info!B5)</f>
        <v>Industry and Occupation Table 2  Occupation composition (SOC2020) by employment status, 2015-2035, Black Country</v>
      </c>
    </row>
    <row r="2" spans="1:23">
      <c r="A2" s="234" t="s">
        <v>152</v>
      </c>
    </row>
    <row r="4" spans="1:23">
      <c r="O4" s="227" t="s">
        <v>112</v>
      </c>
    </row>
    <row r="5" spans="1:23" s="234" customFormat="1">
      <c r="A5" s="218"/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</row>
    <row r="6" spans="1:23" s="234" customFormat="1">
      <c r="A6" s="217" t="s">
        <v>153</v>
      </c>
      <c r="B6" s="347">
        <v>2015</v>
      </c>
      <c r="C6" s="347"/>
      <c r="D6" s="347"/>
      <c r="E6" s="347"/>
      <c r="F6" s="222"/>
      <c r="G6" s="347">
        <v>2020</v>
      </c>
      <c r="H6" s="347"/>
      <c r="I6" s="347"/>
      <c r="J6" s="347"/>
      <c r="K6" s="254"/>
      <c r="L6" s="347">
        <v>2035</v>
      </c>
      <c r="M6" s="347"/>
      <c r="N6" s="347"/>
      <c r="O6" s="347"/>
      <c r="S6" s="255"/>
      <c r="T6" s="255"/>
      <c r="U6" s="255"/>
      <c r="V6" s="255"/>
      <c r="W6" s="255"/>
    </row>
    <row r="7" spans="1:23" s="234" customFormat="1">
      <c r="A7" s="228"/>
      <c r="B7" s="244" t="str">
        <f>name!$J$5</f>
        <v>FT</v>
      </c>
      <c r="C7" s="244" t="str">
        <f>name!$J$6</f>
        <v>PT</v>
      </c>
      <c r="D7" s="244" t="str">
        <f>name!$J$4</f>
        <v>SE</v>
      </c>
      <c r="E7" s="244" t="s">
        <v>117</v>
      </c>
      <c r="F7" s="256"/>
      <c r="G7" s="244" t="str">
        <f>name!$J$5</f>
        <v>FT</v>
      </c>
      <c r="H7" s="244" t="str">
        <f>name!$J$6</f>
        <v>PT</v>
      </c>
      <c r="I7" s="244" t="str">
        <f>name!$J$4</f>
        <v>SE</v>
      </c>
      <c r="J7" s="244" t="s">
        <v>117</v>
      </c>
      <c r="K7" s="256"/>
      <c r="L7" s="244" t="str">
        <f>name!$J$5</f>
        <v>FT</v>
      </c>
      <c r="M7" s="244" t="str">
        <f>name!$J$6</f>
        <v>PT</v>
      </c>
      <c r="N7" s="244" t="str">
        <f>name!$J$4</f>
        <v>SE</v>
      </c>
      <c r="O7" s="244" t="s">
        <v>117</v>
      </c>
      <c r="T7" s="257"/>
      <c r="V7" s="257"/>
    </row>
    <row r="8" spans="1:23" s="212" customFormat="1">
      <c r="B8" s="215"/>
      <c r="C8" s="215"/>
      <c r="D8" s="215"/>
      <c r="E8" s="215"/>
      <c r="F8" s="215"/>
      <c r="G8" s="215"/>
      <c r="H8" s="215"/>
      <c r="I8" s="215"/>
      <c r="J8" s="215"/>
      <c r="K8" s="215"/>
      <c r="L8" s="215"/>
      <c r="M8" s="215"/>
      <c r="N8" s="215"/>
      <c r="O8" s="215"/>
      <c r="T8" s="225"/>
      <c r="V8" s="225"/>
    </row>
    <row r="9" spans="1:23" s="212" customFormat="1">
      <c r="A9" s="213" t="str">
        <f>name!E$4</f>
        <v>Managers, directors and senior officials</v>
      </c>
      <c r="B9" s="225">
        <f>SUM(B26,B43,B60,B77,B94,B111,B128,B145,B162,B179,B196,B213,B230,B247,B264,B281,B298,B315,B332,B349,B366,B383)</f>
        <v>31.133467726633249</v>
      </c>
      <c r="C9" s="225">
        <f t="shared" ref="C9:D9" si="0">SUM(C26,C43,C60,C77,C94,C111,C128,C145,C162,C179,C196,C213,C230,C247,C264,C281,C298,C315,C332,C349,C366,C383)</f>
        <v>4.2901481335351601</v>
      </c>
      <c r="D9" s="225">
        <f t="shared" si="0"/>
        <v>6.969104755831955</v>
      </c>
      <c r="E9" s="225">
        <f>SUM(B9:D9)</f>
        <v>42.392720616000368</v>
      </c>
      <c r="F9" s="214"/>
      <c r="G9" s="225">
        <f>SUM(G26,G43,G60,G77,G94,G111,G128,G145,G162,G179,G196,G213,G230,G247,G264,G281,G298,G315,G332,G349,G366,G383)</f>
        <v>33.282767648540492</v>
      </c>
      <c r="H9" s="225">
        <f t="shared" ref="H9:I9" si="1">SUM(H26,H43,H60,H77,H94,H111,H128,H145,H162,H179,H196,H213,H230,H247,H264,H281,H298,H315,H332,H349,H366,H383)</f>
        <v>6.6628709224389837</v>
      </c>
      <c r="I9" s="225">
        <f t="shared" si="1"/>
        <v>7.8547289213964042</v>
      </c>
      <c r="J9" s="225">
        <f>SUM(G9:I9)</f>
        <v>47.800367492375884</v>
      </c>
      <c r="K9" s="214"/>
      <c r="L9" s="225">
        <f>SUM(L26,L43,L60,L77,L94,L111,L128,L145,L162,L179,L196,L213,L230,L247,L264,L281,L298,L315,L332,L349,L366,L383)</f>
        <v>32.995507163792198</v>
      </c>
      <c r="M9" s="225">
        <f t="shared" ref="M9:N9" si="2">SUM(M26,M43,M60,M77,M94,M111,M128,M145,M162,M179,M196,M213,M230,M247,M264,M281,M298,M315,M332,M349,M366,M383)</f>
        <v>7.7703462736032787</v>
      </c>
      <c r="N9" s="225">
        <f t="shared" si="2"/>
        <v>8.4603258491387052</v>
      </c>
      <c r="O9" s="225">
        <f>SUM(L9:N9)</f>
        <v>49.226179286534183</v>
      </c>
      <c r="T9" s="225"/>
      <c r="V9" s="225"/>
    </row>
    <row r="10" spans="1:23" s="212" customFormat="1">
      <c r="A10" s="213" t="str">
        <f>name!E$5</f>
        <v>Professional occupations</v>
      </c>
      <c r="B10" s="225">
        <f t="shared" ref="B10:D17" si="3">SUM(B27,B44,B61,B78,B95,B112,B129,B146,B163,B180,B197,B214,B231,B248,B265,B282,B299,B316,B333,B350,B367,B384)</f>
        <v>60.788175719151354</v>
      </c>
      <c r="C10" s="225">
        <f t="shared" si="3"/>
        <v>17.622403704573046</v>
      </c>
      <c r="D10" s="225">
        <f t="shared" si="3"/>
        <v>9.3033282210359278</v>
      </c>
      <c r="E10" s="225">
        <f t="shared" ref="E10:E17" si="4">SUM(B10:D10)</f>
        <v>87.713907644760326</v>
      </c>
      <c r="F10" s="214"/>
      <c r="G10" s="225">
        <f t="shared" ref="G10:I10" si="5">SUM(G27,G44,G61,G78,G95,G112,G129,G146,G163,G180,G197,G214,G231,G248,G265,G282,G299,G316,G333,G350,G367,G384)</f>
        <v>70.980159490467173</v>
      </c>
      <c r="H10" s="225">
        <f t="shared" si="5"/>
        <v>21.956036427019846</v>
      </c>
      <c r="I10" s="225">
        <f t="shared" si="5"/>
        <v>10.607637322201462</v>
      </c>
      <c r="J10" s="225">
        <f t="shared" ref="J10:J17" si="6">SUM(G10:I10)</f>
        <v>103.5438332396885</v>
      </c>
      <c r="K10" s="214"/>
      <c r="L10" s="225">
        <f t="shared" ref="L10:N10" si="7">SUM(L27,L44,L61,L78,L95,L112,L129,L146,L163,L180,L197,L214,L231,L248,L265,L282,L299,L316,L333,L350,L367,L384)</f>
        <v>85.229934199547074</v>
      </c>
      <c r="M10" s="225">
        <f t="shared" si="7"/>
        <v>26.624876266499758</v>
      </c>
      <c r="N10" s="225">
        <f t="shared" si="7"/>
        <v>9.8844070325038444</v>
      </c>
      <c r="O10" s="225">
        <f t="shared" ref="O10:O17" si="8">SUM(L10:N10)</f>
        <v>121.73921749855067</v>
      </c>
      <c r="T10" s="225"/>
      <c r="V10" s="225"/>
    </row>
    <row r="11" spans="1:23" s="212" customFormat="1">
      <c r="A11" s="213" t="str">
        <f>name!E$6</f>
        <v>Associate professional occupations</v>
      </c>
      <c r="B11" s="225">
        <f t="shared" si="3"/>
        <v>37.406265501286327</v>
      </c>
      <c r="C11" s="225">
        <f t="shared" si="3"/>
        <v>11.315431230188342</v>
      </c>
      <c r="D11" s="225">
        <f t="shared" si="3"/>
        <v>7.4056886323617723</v>
      </c>
      <c r="E11" s="225">
        <f t="shared" si="4"/>
        <v>56.127385363836439</v>
      </c>
      <c r="F11" s="214"/>
      <c r="G11" s="225">
        <f t="shared" ref="G11:I11" si="9">SUM(G28,G45,G62,G79,G96,G113,G130,G147,G164,G181,G198,G215,G232,G249,G266,G283,G300,G317,G334,G351,G368,G385)</f>
        <v>40.631885586235995</v>
      </c>
      <c r="H11" s="225">
        <f t="shared" si="9"/>
        <v>13.393550069199673</v>
      </c>
      <c r="I11" s="225">
        <f t="shared" si="9"/>
        <v>6.7901663552149216</v>
      </c>
      <c r="J11" s="225">
        <f t="shared" si="6"/>
        <v>60.815602010650593</v>
      </c>
      <c r="K11" s="214"/>
      <c r="L11" s="225">
        <f t="shared" ref="L11:N11" si="10">SUM(L28,L45,L62,L79,L96,L113,L130,L147,L164,L181,L198,L215,L232,L249,L266,L283,L300,L317,L334,L351,L368,L385)</f>
        <v>47.136504020032433</v>
      </c>
      <c r="M11" s="225">
        <f t="shared" si="10"/>
        <v>17.290290435750592</v>
      </c>
      <c r="N11" s="225">
        <f t="shared" si="10"/>
        <v>7.0831501966160726</v>
      </c>
      <c r="O11" s="225">
        <f t="shared" si="8"/>
        <v>71.509944652399099</v>
      </c>
      <c r="T11" s="225"/>
      <c r="V11" s="225"/>
    </row>
    <row r="12" spans="1:23" s="212" customFormat="1">
      <c r="A12" s="213" t="str">
        <f>name!E$7</f>
        <v>Administrative and secretarial occupations</v>
      </c>
      <c r="B12" s="225">
        <f t="shared" si="3"/>
        <v>33.384017282519274</v>
      </c>
      <c r="C12" s="225">
        <f t="shared" si="3"/>
        <v>24.630183111958118</v>
      </c>
      <c r="D12" s="225">
        <f t="shared" si="3"/>
        <v>2.1237523413864938</v>
      </c>
      <c r="E12" s="225">
        <f t="shared" si="4"/>
        <v>60.137952735863884</v>
      </c>
      <c r="F12" s="214"/>
      <c r="G12" s="225">
        <f t="shared" ref="G12:I12" si="11">SUM(G29,G46,G63,G80,G97,G114,G131,G148,G165,G182,G199,G216,G233,G250,G267,G284,G301,G318,G335,G352,G369,G386)</f>
        <v>31.524575397802167</v>
      </c>
      <c r="H12" s="225">
        <f t="shared" si="11"/>
        <v>23.339216224237727</v>
      </c>
      <c r="I12" s="225">
        <f t="shared" si="11"/>
        <v>1.6146086611746686</v>
      </c>
      <c r="J12" s="225">
        <f t="shared" si="6"/>
        <v>56.478400283214569</v>
      </c>
      <c r="K12" s="214"/>
      <c r="L12" s="225">
        <f t="shared" ref="L12:N12" si="12">SUM(L29,L46,L63,L80,L97,L114,L131,L148,L165,L182,L199,L216,L233,L250,L267,L284,L301,L318,L335,L352,L369,L386)</f>
        <v>31.591179016438865</v>
      </c>
      <c r="M12" s="225">
        <f t="shared" si="12"/>
        <v>20.525634016161874</v>
      </c>
      <c r="N12" s="225">
        <f t="shared" si="12"/>
        <v>1.4104578634164706</v>
      </c>
      <c r="O12" s="225">
        <f t="shared" si="8"/>
        <v>53.527270896017207</v>
      </c>
      <c r="T12" s="225"/>
      <c r="V12" s="225"/>
    </row>
    <row r="13" spans="1:23" s="212" customFormat="1">
      <c r="A13" s="213" t="str">
        <f>name!E$8</f>
        <v>Skilled trades occupations</v>
      </c>
      <c r="B13" s="225">
        <f t="shared" si="3"/>
        <v>41.123298791113136</v>
      </c>
      <c r="C13" s="225">
        <f t="shared" si="3"/>
        <v>5.0380135682616238</v>
      </c>
      <c r="D13" s="225">
        <f t="shared" si="3"/>
        <v>15.137415435555575</v>
      </c>
      <c r="E13" s="225">
        <f t="shared" si="4"/>
        <v>61.298727794930336</v>
      </c>
      <c r="F13" s="214"/>
      <c r="G13" s="225">
        <f t="shared" ref="G13:I13" si="13">SUM(G30,G47,G64,G81,G98,G115,G132,G149,G166,G183,G200,G217,G234,G251,G268,G285,G302,G319,G336,G353,G370,G387)</f>
        <v>31.592653387191223</v>
      </c>
      <c r="H13" s="225">
        <f t="shared" si="13"/>
        <v>4.2057401110957118</v>
      </c>
      <c r="I13" s="225">
        <f t="shared" si="13"/>
        <v>16.434453600766044</v>
      </c>
      <c r="J13" s="225">
        <f t="shared" si="6"/>
        <v>52.232847099052975</v>
      </c>
      <c r="K13" s="214"/>
      <c r="L13" s="225">
        <f t="shared" ref="L13:N13" si="14">SUM(L30,L47,L64,L81,L98,L115,L132,L149,L166,L183,L200,L217,L234,L251,L268,L285,L302,L319,L336,L353,L370,L387)</f>
        <v>25.117956227388458</v>
      </c>
      <c r="M13" s="225">
        <f t="shared" si="14"/>
        <v>4.9505446300954539</v>
      </c>
      <c r="N13" s="225">
        <f t="shared" si="14"/>
        <v>16.694422870269651</v>
      </c>
      <c r="O13" s="225">
        <f t="shared" si="8"/>
        <v>46.762923727753559</v>
      </c>
      <c r="T13" s="225"/>
      <c r="V13" s="225"/>
    </row>
    <row r="14" spans="1:23" s="212" customFormat="1">
      <c r="A14" s="213" t="str">
        <f>name!E$9</f>
        <v>Caring, leisure and other service occupations</v>
      </c>
      <c r="B14" s="225">
        <f t="shared" si="3"/>
        <v>23.908597302848044</v>
      </c>
      <c r="C14" s="225">
        <f t="shared" si="3"/>
        <v>22.38220906091378</v>
      </c>
      <c r="D14" s="225">
        <f t="shared" si="3"/>
        <v>4.187386264924692</v>
      </c>
      <c r="E14" s="225">
        <f t="shared" si="4"/>
        <v>50.478192628686514</v>
      </c>
      <c r="F14" s="214"/>
      <c r="G14" s="225">
        <f t="shared" ref="G14:I14" si="15">SUM(G31,G48,G65,G82,G99,G116,G133,G150,G167,G184,G201,G218,G235,G252,G269,G286,G303,G320,G337,G354,G371,G388)</f>
        <v>23.71483590244987</v>
      </c>
      <c r="H14" s="225">
        <f t="shared" si="15"/>
        <v>22.161845733001076</v>
      </c>
      <c r="I14" s="225">
        <f t="shared" si="15"/>
        <v>3.4612747906834804</v>
      </c>
      <c r="J14" s="225">
        <f t="shared" si="6"/>
        <v>49.337956426134433</v>
      </c>
      <c r="K14" s="214"/>
      <c r="L14" s="225">
        <f t="shared" ref="L14:N14" si="16">SUM(L31,L48,L65,L82,L99,L116,L133,L150,L167,L184,L201,L218,L235,L252,L269,L286,L303,L320,L337,L354,L371,L388)</f>
        <v>27.43416251674244</v>
      </c>
      <c r="M14" s="225">
        <f t="shared" si="16"/>
        <v>22.070126185350993</v>
      </c>
      <c r="N14" s="225">
        <f t="shared" si="16"/>
        <v>4.4154026286537169</v>
      </c>
      <c r="O14" s="225">
        <f t="shared" si="8"/>
        <v>53.919691330747149</v>
      </c>
      <c r="T14" s="225"/>
      <c r="V14" s="225"/>
    </row>
    <row r="15" spans="1:23" s="212" customFormat="1">
      <c r="A15" s="213" t="str">
        <f>name!E$10</f>
        <v>Sales and customer service occupations</v>
      </c>
      <c r="B15" s="225">
        <f t="shared" si="3"/>
        <v>15.417470265024591</v>
      </c>
      <c r="C15" s="225">
        <f t="shared" si="3"/>
        <v>25.392019047392633</v>
      </c>
      <c r="D15" s="225">
        <f t="shared" si="3"/>
        <v>2.5030015296730297</v>
      </c>
      <c r="E15" s="225">
        <f t="shared" si="4"/>
        <v>43.312490842090256</v>
      </c>
      <c r="F15" s="214"/>
      <c r="G15" s="225">
        <f t="shared" ref="G15:I15" si="17">SUM(G32,G49,G66,G83,G100,G117,G134,G151,G168,G185,G202,G219,G236,G253,G270,G287,G304,G321,G338,G355,G372,G389)</f>
        <v>13.698547629359791</v>
      </c>
      <c r="H15" s="225">
        <f t="shared" si="17"/>
        <v>24.073030364519521</v>
      </c>
      <c r="I15" s="225">
        <f t="shared" si="17"/>
        <v>1.5682079469137955</v>
      </c>
      <c r="J15" s="225">
        <f t="shared" si="6"/>
        <v>39.339785940793107</v>
      </c>
      <c r="K15" s="214"/>
      <c r="L15" s="225">
        <f t="shared" ref="L15:N15" si="18">SUM(L32,L49,L66,L83,L100,L117,L134,L151,L168,L185,L202,L219,L236,L253,L270,L287,L304,L321,L338,L355,L372,L389)</f>
        <v>13.657207584313612</v>
      </c>
      <c r="M15" s="225">
        <f t="shared" si="18"/>
        <v>24.162821852635719</v>
      </c>
      <c r="N15" s="225">
        <f t="shared" si="18"/>
        <v>1.2610533671002429</v>
      </c>
      <c r="O15" s="225">
        <f t="shared" si="8"/>
        <v>39.081082804049579</v>
      </c>
      <c r="T15" s="225"/>
      <c r="V15" s="225"/>
    </row>
    <row r="16" spans="1:23" s="212" customFormat="1">
      <c r="A16" s="213" t="str">
        <f>name!E$11</f>
        <v>Process, plant and machine operatives</v>
      </c>
      <c r="B16" s="225">
        <f t="shared" si="3"/>
        <v>36.785480741297256</v>
      </c>
      <c r="C16" s="225">
        <f t="shared" si="3"/>
        <v>4.8615916492614213</v>
      </c>
      <c r="D16" s="225">
        <f t="shared" si="3"/>
        <v>5.4936116692184145</v>
      </c>
      <c r="E16" s="225">
        <f t="shared" si="4"/>
        <v>47.140684059777094</v>
      </c>
      <c r="F16" s="214"/>
      <c r="G16" s="225">
        <f t="shared" ref="G16:I16" si="19">SUM(G33,G50,G67,G84,G101,G118,G135,G152,G169,G186,G203,G220,G237,G254,G271,G288,G305,G322,G339,G356,G373,G390)</f>
        <v>27.940222216185958</v>
      </c>
      <c r="H16" s="225">
        <f t="shared" si="19"/>
        <v>6.2826529822694814</v>
      </c>
      <c r="I16" s="225">
        <f t="shared" si="19"/>
        <v>6.1354991075426115</v>
      </c>
      <c r="J16" s="225">
        <f t="shared" si="6"/>
        <v>40.358374305998055</v>
      </c>
      <c r="K16" s="214"/>
      <c r="L16" s="225">
        <f t="shared" ref="L16:N16" si="20">SUM(L33,L50,L67,L84,L101,L118,L135,L152,L169,L186,L203,L220,L237,L254,L271,L288,L305,L322,L339,L356,L373,L390)</f>
        <v>25.388529038895165</v>
      </c>
      <c r="M16" s="225">
        <f t="shared" si="20"/>
        <v>7.283937976015876</v>
      </c>
      <c r="N16" s="225">
        <f t="shared" si="20"/>
        <v>7.5272707176983209</v>
      </c>
      <c r="O16" s="225">
        <f t="shared" si="8"/>
        <v>40.199737732609364</v>
      </c>
      <c r="T16" s="225"/>
      <c r="V16" s="225"/>
    </row>
    <row r="17" spans="1:15" s="212" customFormat="1">
      <c r="A17" s="213" t="str">
        <f>name!E$12</f>
        <v>Elementary occupations</v>
      </c>
      <c r="B17" s="225">
        <f t="shared" si="3"/>
        <v>25.568732646467684</v>
      </c>
      <c r="C17" s="225">
        <f t="shared" si="3"/>
        <v>25.826809890534861</v>
      </c>
      <c r="D17" s="225">
        <f t="shared" si="3"/>
        <v>5.5643957770523169</v>
      </c>
      <c r="E17" s="225">
        <f t="shared" si="4"/>
        <v>56.95993831405486</v>
      </c>
      <c r="F17" s="214"/>
      <c r="G17" s="225">
        <f t="shared" ref="G17:I17" si="21">SUM(G34,G51,G68,G85,G102,G119,G136,G153,G170,G187,G204,G221,G238,G255,G272,G289,G306,G323,G340,G357,G374,G391)</f>
        <v>19.557269848610286</v>
      </c>
      <c r="H17" s="225">
        <f t="shared" si="21"/>
        <v>22.027755116136468</v>
      </c>
      <c r="I17" s="225">
        <f t="shared" si="21"/>
        <v>4.7018082373451282</v>
      </c>
      <c r="J17" s="225">
        <f t="shared" si="6"/>
        <v>46.286833202091877</v>
      </c>
      <c r="K17" s="214"/>
      <c r="L17" s="225">
        <f t="shared" ref="L17:N17" si="22">SUM(L34,L51,L68,L85,L102,L119,L136,L153,L170,L187,L204,L221,L238,L255,L272,L289,L306,L323,L340,L357,L374,L391)</f>
        <v>21.077674900787802</v>
      </c>
      <c r="M17" s="225">
        <f t="shared" si="22"/>
        <v>18.865557604007254</v>
      </c>
      <c r="N17" s="225">
        <f t="shared" si="22"/>
        <v>6.0347195665437878</v>
      </c>
      <c r="O17" s="225">
        <f t="shared" si="8"/>
        <v>45.977952071338841</v>
      </c>
    </row>
    <row r="18" spans="1:15" s="212" customFormat="1">
      <c r="A18" s="213"/>
      <c r="B18" s="225"/>
      <c r="C18" s="225"/>
      <c r="D18" s="225"/>
      <c r="E18" s="225"/>
      <c r="F18" s="214"/>
      <c r="G18" s="225"/>
      <c r="H18" s="225"/>
      <c r="I18" s="225"/>
      <c r="J18" s="225"/>
      <c r="K18" s="214"/>
      <c r="L18" s="225"/>
      <c r="M18" s="225"/>
      <c r="N18" s="225"/>
      <c r="O18" s="225"/>
    </row>
    <row r="19" spans="1:15" s="212" customFormat="1">
      <c r="A19" s="220" t="s">
        <v>117</v>
      </c>
      <c r="B19" s="223">
        <f>SUM(B9:B17)</f>
        <v>305.51550597634093</v>
      </c>
      <c r="C19" s="223">
        <f t="shared" ref="C19:O19" si="23">SUM(C9:C17)</f>
        <v>141.35880939661899</v>
      </c>
      <c r="D19" s="223">
        <f t="shared" si="23"/>
        <v>58.687684627040177</v>
      </c>
      <c r="E19" s="223">
        <f t="shared" si="23"/>
        <v>505.56200000000001</v>
      </c>
      <c r="F19" s="223"/>
      <c r="G19" s="223">
        <f t="shared" si="23"/>
        <v>292.92291710684299</v>
      </c>
      <c r="H19" s="223">
        <f t="shared" si="23"/>
        <v>144.10269794991848</v>
      </c>
      <c r="I19" s="223">
        <f t="shared" si="23"/>
        <v>59.168384943238514</v>
      </c>
      <c r="J19" s="223">
        <f t="shared" si="23"/>
        <v>496.19399999999996</v>
      </c>
      <c r="K19" s="223"/>
      <c r="L19" s="223">
        <f t="shared" si="23"/>
        <v>309.62865466793806</v>
      </c>
      <c r="M19" s="223">
        <f t="shared" si="23"/>
        <v>149.54413524012077</v>
      </c>
      <c r="N19" s="223">
        <f t="shared" si="23"/>
        <v>62.771210091940816</v>
      </c>
      <c r="O19" s="223">
        <f t="shared" si="23"/>
        <v>521.94399999999962</v>
      </c>
    </row>
    <row r="20" spans="1:15" s="212" customFormat="1">
      <c r="A20" s="213"/>
      <c r="B20" s="214"/>
      <c r="C20" s="214"/>
      <c r="D20" s="214"/>
      <c r="E20" s="214"/>
      <c r="F20" s="214"/>
      <c r="G20" s="214"/>
      <c r="H20" s="214"/>
      <c r="I20" s="214"/>
      <c r="J20" s="214"/>
      <c r="K20" s="214"/>
      <c r="L20" s="214"/>
      <c r="M20" s="214"/>
      <c r="N20" s="215"/>
    </row>
    <row r="21" spans="1:15" s="212" customFormat="1">
      <c r="A21" s="213"/>
      <c r="B21" s="213"/>
      <c r="C21" s="213"/>
      <c r="D21" s="213"/>
      <c r="E21" s="213"/>
      <c r="F21" s="213"/>
      <c r="G21" s="213"/>
      <c r="H21" s="213"/>
      <c r="I21" s="213"/>
      <c r="J21" s="213"/>
      <c r="K21" s="213"/>
      <c r="L21" s="213"/>
      <c r="M21" s="213"/>
      <c r="N21" s="216"/>
      <c r="O21" s="227" t="s">
        <v>112</v>
      </c>
    </row>
    <row r="22" spans="1:15" s="212" customFormat="1">
      <c r="A22" s="218"/>
      <c r="B22" s="218"/>
      <c r="C22" s="218"/>
      <c r="D22" s="218"/>
      <c r="E22" s="218"/>
      <c r="F22" s="218"/>
      <c r="G22" s="218"/>
      <c r="H22" s="218"/>
      <c r="I22" s="218"/>
      <c r="J22" s="218"/>
      <c r="K22" s="218"/>
      <c r="L22" s="218"/>
      <c r="M22" s="218"/>
      <c r="N22" s="218"/>
      <c r="O22" s="218"/>
    </row>
    <row r="23" spans="1:15" s="212" customFormat="1">
      <c r="A23" s="217" t="str">
        <f>name!B4</f>
        <v>Agriculture</v>
      </c>
      <c r="B23" s="349">
        <f>$B$6</f>
        <v>2015</v>
      </c>
      <c r="C23" s="349"/>
      <c r="D23" s="349"/>
      <c r="E23" s="349"/>
      <c r="F23" s="239"/>
      <c r="G23" s="349">
        <f>$G$6</f>
        <v>2020</v>
      </c>
      <c r="H23" s="349"/>
      <c r="I23" s="349"/>
      <c r="J23" s="349"/>
      <c r="K23" s="239"/>
      <c r="L23" s="349">
        <f>$L$6</f>
        <v>2035</v>
      </c>
      <c r="M23" s="349"/>
      <c r="N23" s="349"/>
      <c r="O23" s="349"/>
    </row>
    <row r="24" spans="1:15" s="212" customFormat="1">
      <c r="A24" s="230"/>
      <c r="B24" s="244" t="str">
        <f>$B$7</f>
        <v>FT</v>
      </c>
      <c r="C24" s="244" t="str">
        <f>$C$7</f>
        <v>PT</v>
      </c>
      <c r="D24" s="244" t="str">
        <f>$D$7</f>
        <v>SE</v>
      </c>
      <c r="E24" s="244" t="str">
        <f>$E$7</f>
        <v>Total</v>
      </c>
      <c r="F24" s="244"/>
      <c r="G24" s="244" t="str">
        <f>$G$7</f>
        <v>FT</v>
      </c>
      <c r="H24" s="244" t="str">
        <f>$H$7</f>
        <v>PT</v>
      </c>
      <c r="I24" s="244" t="str">
        <f>$I$7</f>
        <v>SE</v>
      </c>
      <c r="J24" s="244" t="str">
        <f>$J$7</f>
        <v>Total</v>
      </c>
      <c r="K24" s="244"/>
      <c r="L24" s="244" t="str">
        <f>$L$7</f>
        <v>FT</v>
      </c>
      <c r="M24" s="244" t="str">
        <f>$M$7</f>
        <v>PT</v>
      </c>
      <c r="N24" s="244" t="str">
        <f>$N$7</f>
        <v>SE</v>
      </c>
      <c r="O24" s="244" t="str">
        <f>$O$7</f>
        <v>Total</v>
      </c>
    </row>
    <row r="25" spans="1:15" s="212" customFormat="1">
      <c r="A25" s="234"/>
      <c r="B25" s="215"/>
      <c r="C25" s="215"/>
      <c r="D25" s="215"/>
      <c r="E25" s="215"/>
      <c r="F25" s="215"/>
      <c r="G25" s="215"/>
      <c r="H25" s="215"/>
      <c r="I25" s="215"/>
      <c r="J25" s="215"/>
      <c r="K25" s="215"/>
      <c r="L25" s="215"/>
      <c r="M25" s="215"/>
      <c r="N25" s="215"/>
      <c r="O25" s="215"/>
    </row>
    <row r="26" spans="1:15" s="212" customFormat="1">
      <c r="A26" s="213" t="str">
        <f>name!E$4</f>
        <v>Managers, directors and senior officials</v>
      </c>
      <c r="B26" s="278">
        <v>0.10012684226140504</v>
      </c>
      <c r="C26" s="278">
        <v>1.8717321347695763E-2</v>
      </c>
      <c r="D26" s="278">
        <v>3.7297490719259835E-2</v>
      </c>
      <c r="E26" s="278">
        <f>SUM(B26:D26)</f>
        <v>0.15614165432836064</v>
      </c>
      <c r="F26" s="279"/>
      <c r="G26" s="278">
        <v>5.4069380488192507E-2</v>
      </c>
      <c r="H26" s="278">
        <v>1.2128595833526469E-3</v>
      </c>
      <c r="I26" s="278">
        <v>1.95798256466337E-2</v>
      </c>
      <c r="J26" s="278">
        <f>SUM(G26:I26)</f>
        <v>7.4862065718178855E-2</v>
      </c>
      <c r="K26" s="279"/>
      <c r="L26" s="278">
        <v>6.6437270599881512E-2</v>
      </c>
      <c r="M26" s="278">
        <v>9.5451370787039212E-4</v>
      </c>
      <c r="N26" s="278">
        <v>2.1892678355188485E-2</v>
      </c>
      <c r="O26" s="278">
        <f>SUM(L26:N26)</f>
        <v>8.9284462662940392E-2</v>
      </c>
    </row>
    <row r="27" spans="1:15" s="212" customFormat="1">
      <c r="A27" s="213" t="str">
        <f>name!E$5</f>
        <v>Professional occupations</v>
      </c>
      <c r="B27" s="278">
        <v>0.10993314683810694</v>
      </c>
      <c r="C27" s="278">
        <v>1.0327540307503706E-2</v>
      </c>
      <c r="D27" s="278">
        <v>9.355667237028905E-3</v>
      </c>
      <c r="E27" s="278">
        <f t="shared" ref="E27:E34" si="24">SUM(B27:D27)</f>
        <v>0.12961635438263955</v>
      </c>
      <c r="F27" s="279"/>
      <c r="G27" s="278">
        <v>8.0883127038692243E-2</v>
      </c>
      <c r="H27" s="278">
        <v>7.3633750688861604E-4</v>
      </c>
      <c r="I27" s="278">
        <v>4.4993523248638536E-3</v>
      </c>
      <c r="J27" s="278">
        <f t="shared" ref="J27:J34" si="25">SUM(G27:I27)</f>
        <v>8.6118816870444717E-2</v>
      </c>
      <c r="K27" s="279"/>
      <c r="L27" s="278">
        <v>0.15978457792976897</v>
      </c>
      <c r="M27" s="278">
        <v>8.1585197227753033E-4</v>
      </c>
      <c r="N27" s="278">
        <v>4.5698087411763918E-3</v>
      </c>
      <c r="O27" s="278">
        <f t="shared" ref="O27:O34" si="26">SUM(L27:N27)</f>
        <v>0.16517023864322289</v>
      </c>
    </row>
    <row r="28" spans="1:15" s="212" customFormat="1">
      <c r="A28" s="213" t="str">
        <f>name!E$6</f>
        <v>Associate professional occupations</v>
      </c>
      <c r="B28" s="278">
        <v>8.5195211236168092E-2</v>
      </c>
      <c r="C28" s="278">
        <v>1.2969458337044826E-2</v>
      </c>
      <c r="D28" s="278">
        <v>4.213185158296987E-3</v>
      </c>
      <c r="E28" s="278">
        <f t="shared" si="24"/>
        <v>0.1023778547315099</v>
      </c>
      <c r="F28" s="279"/>
      <c r="G28" s="278">
        <v>5.4894400351858295E-2</v>
      </c>
      <c r="H28" s="278">
        <v>7.2830101482963025E-4</v>
      </c>
      <c r="I28" s="278">
        <v>2.0370249921120784E-3</v>
      </c>
      <c r="J28" s="278">
        <f t="shared" si="25"/>
        <v>5.7659726358800005E-2</v>
      </c>
      <c r="K28" s="279"/>
      <c r="L28" s="278">
        <v>8.0336683013348967E-2</v>
      </c>
      <c r="M28" s="278">
        <v>6.8780710807613769E-4</v>
      </c>
      <c r="N28" s="278">
        <v>2.8855294484771959E-3</v>
      </c>
      <c r="O28" s="278">
        <f t="shared" si="26"/>
        <v>8.3910019569902308E-2</v>
      </c>
    </row>
    <row r="29" spans="1:15" s="212" customFormat="1">
      <c r="A29" s="213" t="str">
        <f>name!E$7</f>
        <v>Administrative and secretarial occupations</v>
      </c>
      <c r="B29" s="278">
        <v>0.10282180836233965</v>
      </c>
      <c r="C29" s="278">
        <v>8.9895551073467445E-2</v>
      </c>
      <c r="D29" s="278">
        <v>4.8150334719545551E-3</v>
      </c>
      <c r="E29" s="278">
        <f t="shared" si="24"/>
        <v>0.19753239290776164</v>
      </c>
      <c r="F29" s="279"/>
      <c r="G29" s="278">
        <v>6.1178724919821334E-2</v>
      </c>
      <c r="H29" s="278">
        <v>4.0994644304494154E-3</v>
      </c>
      <c r="I29" s="278">
        <v>3.5958016999341224E-3</v>
      </c>
      <c r="J29" s="278">
        <f t="shared" si="25"/>
        <v>6.8873991050204864E-2</v>
      </c>
      <c r="K29" s="279"/>
      <c r="L29" s="278">
        <v>6.5120548856310009E-2</v>
      </c>
      <c r="M29" s="278">
        <v>2.5768257636454611E-3</v>
      </c>
      <c r="N29" s="278">
        <v>2.366710468264927E-3</v>
      </c>
      <c r="O29" s="278">
        <f t="shared" si="26"/>
        <v>7.0064085088220387E-2</v>
      </c>
    </row>
    <row r="30" spans="1:15" s="212" customFormat="1">
      <c r="A30" s="213" t="str">
        <f>name!E$8</f>
        <v>Skilled trades occupations</v>
      </c>
      <c r="B30" s="278">
        <v>0.34377159769976223</v>
      </c>
      <c r="C30" s="278">
        <v>0.12150406503098385</v>
      </c>
      <c r="D30" s="278">
        <v>1.1278628073334311</v>
      </c>
      <c r="E30" s="278">
        <f t="shared" si="24"/>
        <v>1.5931384700641771</v>
      </c>
      <c r="F30" s="279"/>
      <c r="G30" s="278">
        <v>0.12775423171104877</v>
      </c>
      <c r="H30" s="278">
        <v>4.1209767790361916E-3</v>
      </c>
      <c r="I30" s="278">
        <v>0.469069424890105</v>
      </c>
      <c r="J30" s="278">
        <f>SUM(G30:I30)</f>
        <v>0.60094463338019</v>
      </c>
      <c r="K30" s="279"/>
      <c r="L30" s="278">
        <v>0.10823321107705478</v>
      </c>
      <c r="M30" s="278">
        <v>4.1548411663782968E-3</v>
      </c>
      <c r="N30" s="278">
        <v>0.46199182018155061</v>
      </c>
      <c r="O30" s="278">
        <f t="shared" si="26"/>
        <v>0.57437987242498367</v>
      </c>
    </row>
    <row r="31" spans="1:15" s="212" customFormat="1">
      <c r="A31" s="213" t="str">
        <f>name!E$9</f>
        <v>Caring, leisure and other service occupations</v>
      </c>
      <c r="B31" s="278">
        <v>9.0790293891649249E-2</v>
      </c>
      <c r="C31" s="278">
        <v>4.0749423044508078E-2</v>
      </c>
      <c r="D31" s="278">
        <v>8.8628514351936742E-3</v>
      </c>
      <c r="E31" s="278">
        <f t="shared" si="24"/>
        <v>0.14040256837135098</v>
      </c>
      <c r="F31" s="279"/>
      <c r="G31" s="278">
        <v>4.4214685751065387E-2</v>
      </c>
      <c r="H31" s="278">
        <v>1.9262208774985716E-3</v>
      </c>
      <c r="I31" s="278">
        <v>3.9930210621250302E-3</v>
      </c>
      <c r="J31" s="278">
        <f t="shared" si="25"/>
        <v>5.0133927690688987E-2</v>
      </c>
      <c r="K31" s="279"/>
      <c r="L31" s="278">
        <v>4.8780199721441708E-2</v>
      </c>
      <c r="M31" s="278">
        <v>1.2441828594456827E-3</v>
      </c>
      <c r="N31" s="278">
        <v>5.4047453564307251E-3</v>
      </c>
      <c r="O31" s="278">
        <f t="shared" si="26"/>
        <v>5.5429127937318121E-2</v>
      </c>
    </row>
    <row r="32" spans="1:15" s="212" customFormat="1">
      <c r="A32" s="213" t="str">
        <f>name!E$10</f>
        <v>Sales and customer service occupations</v>
      </c>
      <c r="B32" s="278">
        <v>3.0241797927159298E-2</v>
      </c>
      <c r="C32" s="278">
        <v>2.0273791094795282E-2</v>
      </c>
      <c r="D32" s="278">
        <v>1.0472960721087575E-2</v>
      </c>
      <c r="E32" s="278">
        <f t="shared" si="24"/>
        <v>6.0988549743042152E-2</v>
      </c>
      <c r="F32" s="279"/>
      <c r="G32" s="278">
        <v>1.5420271484111158E-2</v>
      </c>
      <c r="H32" s="278">
        <v>8.8467594806218054E-4</v>
      </c>
      <c r="I32" s="278">
        <v>4.314372870194063E-3</v>
      </c>
      <c r="J32" s="278">
        <f t="shared" si="25"/>
        <v>2.0619320302367402E-2</v>
      </c>
      <c r="K32" s="279"/>
      <c r="L32" s="278">
        <v>1.7756550121074136E-2</v>
      </c>
      <c r="M32" s="278">
        <v>6.9472852166882948E-4</v>
      </c>
      <c r="N32" s="278">
        <v>3.3114215033500406E-3</v>
      </c>
      <c r="O32" s="278">
        <f t="shared" si="26"/>
        <v>2.1762700146093005E-2</v>
      </c>
    </row>
    <row r="33" spans="1:15" s="212" customFormat="1">
      <c r="A33" s="213" t="str">
        <f>name!E$11</f>
        <v>Process, plant and machine operatives</v>
      </c>
      <c r="B33" s="278">
        <v>9.1355109442446986E-2</v>
      </c>
      <c r="C33" s="278">
        <v>2.3226666808011408E-2</v>
      </c>
      <c r="D33" s="278">
        <v>5.9668159352679936E-3</v>
      </c>
      <c r="E33" s="278">
        <f t="shared" si="24"/>
        <v>0.12054859218572639</v>
      </c>
      <c r="F33" s="279"/>
      <c r="G33" s="278">
        <v>3.1172302762976032E-2</v>
      </c>
      <c r="H33" s="278">
        <v>9.7715351254085755E-4</v>
      </c>
      <c r="I33" s="278">
        <v>3.0148184756104033E-3</v>
      </c>
      <c r="J33" s="278">
        <f t="shared" si="25"/>
        <v>3.5164274751127288E-2</v>
      </c>
      <c r="K33" s="279"/>
      <c r="L33" s="278">
        <v>2.2694441733276682E-2</v>
      </c>
      <c r="M33" s="278">
        <v>1.2733784376208401E-3</v>
      </c>
      <c r="N33" s="278">
        <v>5.3156025760163457E-3</v>
      </c>
      <c r="O33" s="278">
        <f t="shared" si="26"/>
        <v>2.9283422746913867E-2</v>
      </c>
    </row>
    <row r="34" spans="1:15" s="212" customFormat="1">
      <c r="A34" s="213" t="str">
        <f>name!E$12</f>
        <v>Elementary occupations</v>
      </c>
      <c r="B34" s="278">
        <v>0.29529939056016147</v>
      </c>
      <c r="C34" s="278">
        <v>0.11359937163149139</v>
      </c>
      <c r="D34" s="278">
        <v>5.5354801093774622E-2</v>
      </c>
      <c r="E34" s="278">
        <f t="shared" si="24"/>
        <v>0.4642535632854275</v>
      </c>
      <c r="F34" s="279"/>
      <c r="G34" s="278">
        <v>9.7544804984460429E-2</v>
      </c>
      <c r="H34" s="278">
        <v>4.3817995067005205E-3</v>
      </c>
      <c r="I34" s="278">
        <v>1.8696639386836047E-2</v>
      </c>
      <c r="J34" s="278">
        <f t="shared" si="25"/>
        <v>0.120623243877997</v>
      </c>
      <c r="K34" s="279"/>
      <c r="L34" s="278">
        <v>8.9789531916625628E-2</v>
      </c>
      <c r="M34" s="278">
        <v>7.2447222920747319E-3</v>
      </c>
      <c r="N34" s="278">
        <v>2.8681816571703812E-2</v>
      </c>
      <c r="O34" s="278">
        <f t="shared" si="26"/>
        <v>0.12571607078040417</v>
      </c>
    </row>
    <row r="35" spans="1:15" s="212" customFormat="1">
      <c r="A35" s="213"/>
      <c r="B35" s="278"/>
      <c r="C35" s="278"/>
      <c r="D35" s="278"/>
      <c r="E35" s="278"/>
      <c r="F35" s="279"/>
      <c r="G35" s="278"/>
      <c r="H35" s="278"/>
      <c r="I35" s="278"/>
      <c r="J35" s="278"/>
      <c r="K35" s="279"/>
      <c r="L35" s="278"/>
      <c r="M35" s="278"/>
      <c r="N35" s="278"/>
      <c r="O35" s="278"/>
    </row>
    <row r="36" spans="1:15" s="212" customFormat="1">
      <c r="A36" s="220" t="s">
        <v>117</v>
      </c>
      <c r="B36" s="282">
        <f>SUM(B26:B34)</f>
        <v>1.2495351982191991</v>
      </c>
      <c r="C36" s="282">
        <f t="shared" ref="C36:O36" si="27">SUM(C26:C34)</f>
        <v>0.45126318867550175</v>
      </c>
      <c r="D36" s="282">
        <f t="shared" si="27"/>
        <v>1.2642016131052951</v>
      </c>
      <c r="E36" s="282">
        <f t="shared" si="27"/>
        <v>2.9649999999999959</v>
      </c>
      <c r="F36" s="282"/>
      <c r="G36" s="282">
        <f t="shared" si="27"/>
        <v>0.56713192949222624</v>
      </c>
      <c r="H36" s="282">
        <f t="shared" si="27"/>
        <v>1.9067789159358632E-2</v>
      </c>
      <c r="I36" s="282">
        <f t="shared" si="27"/>
        <v>0.52880028134841428</v>
      </c>
      <c r="J36" s="282">
        <f t="shared" si="27"/>
        <v>1.1149999999999991</v>
      </c>
      <c r="K36" s="282"/>
      <c r="L36" s="282">
        <f t="shared" si="27"/>
        <v>0.65893301496878243</v>
      </c>
      <c r="M36" s="282">
        <f t="shared" si="27"/>
        <v>1.9646851829057902E-2</v>
      </c>
      <c r="N36" s="282">
        <f t="shared" si="27"/>
        <v>0.53642013320215853</v>
      </c>
      <c r="O36" s="282">
        <f t="shared" si="27"/>
        <v>1.2149999999999985</v>
      </c>
    </row>
    <row r="37" spans="1:15" s="212" customFormat="1">
      <c r="A37" s="213"/>
      <c r="B37" s="213"/>
      <c r="C37" s="213"/>
      <c r="D37" s="213"/>
      <c r="E37" s="213"/>
      <c r="F37" s="213"/>
      <c r="G37" s="213"/>
      <c r="H37" s="213"/>
      <c r="I37" s="213"/>
      <c r="J37" s="213"/>
      <c r="K37" s="213"/>
      <c r="L37" s="213"/>
      <c r="M37" s="213"/>
      <c r="N37" s="216"/>
    </row>
    <row r="38" spans="1:15" s="212" customFormat="1">
      <c r="A38" s="213"/>
      <c r="B38" s="213"/>
      <c r="C38" s="213"/>
      <c r="D38" s="213"/>
      <c r="E38" s="213"/>
      <c r="F38" s="213"/>
      <c r="G38" s="213"/>
      <c r="H38" s="213"/>
      <c r="I38" s="213"/>
      <c r="J38" s="213"/>
      <c r="K38" s="213"/>
      <c r="L38" s="213"/>
      <c r="M38" s="213"/>
      <c r="N38" s="216"/>
      <c r="O38" s="227" t="s">
        <v>112</v>
      </c>
    </row>
    <row r="39" spans="1:15" s="212" customFormat="1">
      <c r="A39" s="218"/>
      <c r="B39" s="218"/>
      <c r="C39" s="218"/>
      <c r="D39" s="218"/>
      <c r="E39" s="218"/>
      <c r="F39" s="218"/>
      <c r="G39" s="218"/>
      <c r="H39" s="218"/>
      <c r="I39" s="218"/>
      <c r="J39" s="218"/>
      <c r="K39" s="218"/>
      <c r="L39" s="218"/>
      <c r="M39" s="218"/>
      <c r="N39" s="218"/>
      <c r="O39" s="218"/>
    </row>
    <row r="40" spans="1:15" s="212" customFormat="1">
      <c r="A40" s="217" t="str">
        <f>name!B5</f>
        <v>Mining and quarrying</v>
      </c>
      <c r="B40" s="349">
        <f>$B$6</f>
        <v>2015</v>
      </c>
      <c r="C40" s="349"/>
      <c r="D40" s="349"/>
      <c r="E40" s="349"/>
      <c r="F40" s="239"/>
      <c r="G40" s="349">
        <f>$G$6</f>
        <v>2020</v>
      </c>
      <c r="H40" s="349"/>
      <c r="I40" s="349"/>
      <c r="J40" s="349"/>
      <c r="K40" s="239"/>
      <c r="L40" s="349">
        <f>$L$6</f>
        <v>2035</v>
      </c>
      <c r="M40" s="349"/>
      <c r="N40" s="349"/>
      <c r="O40" s="349"/>
    </row>
    <row r="41" spans="1:15" s="212" customFormat="1">
      <c r="A41" s="230"/>
      <c r="B41" s="244" t="str">
        <f>$B$7</f>
        <v>FT</v>
      </c>
      <c r="C41" s="244" t="str">
        <f>$C$7</f>
        <v>PT</v>
      </c>
      <c r="D41" s="244" t="str">
        <f>$D$7</f>
        <v>SE</v>
      </c>
      <c r="E41" s="244" t="str">
        <f>$E$7</f>
        <v>Total</v>
      </c>
      <c r="F41" s="244"/>
      <c r="G41" s="244" t="str">
        <f>$G$7</f>
        <v>FT</v>
      </c>
      <c r="H41" s="244" t="str">
        <f>$H$7</f>
        <v>PT</v>
      </c>
      <c r="I41" s="244" t="str">
        <f>$I$7</f>
        <v>SE</v>
      </c>
      <c r="J41" s="244" t="str">
        <f>$J$7</f>
        <v>Total</v>
      </c>
      <c r="K41" s="244"/>
      <c r="L41" s="244" t="str">
        <f>$L$7</f>
        <v>FT</v>
      </c>
      <c r="M41" s="244" t="str">
        <f>$M$7</f>
        <v>PT</v>
      </c>
      <c r="N41" s="244" t="str">
        <f>$N$7</f>
        <v>SE</v>
      </c>
      <c r="O41" s="244" t="str">
        <f>$O$7</f>
        <v>Total</v>
      </c>
    </row>
    <row r="42" spans="1:15" s="212" customFormat="1">
      <c r="A42" s="234"/>
      <c r="B42" s="215"/>
      <c r="C42" s="215"/>
      <c r="D42" s="215"/>
      <c r="E42" s="215"/>
      <c r="F42" s="215"/>
      <c r="G42" s="215"/>
      <c r="H42" s="215"/>
      <c r="I42" s="215"/>
      <c r="J42" s="215"/>
      <c r="K42" s="215"/>
      <c r="L42" s="215"/>
      <c r="M42" s="215"/>
      <c r="N42" s="215"/>
      <c r="O42" s="215"/>
    </row>
    <row r="43" spans="1:15" s="212" customFormat="1">
      <c r="A43" s="213" t="str">
        <f>name!E$4</f>
        <v>Managers, directors and senior officials</v>
      </c>
      <c r="B43" s="278">
        <v>1.2441758001809812E-2</v>
      </c>
      <c r="C43" s="278">
        <v>5.2433814197273124E-5</v>
      </c>
      <c r="D43" s="278">
        <v>1.0051389879507157E-2</v>
      </c>
      <c r="E43" s="278">
        <f>SUM(B43:D43)</f>
        <v>2.2545581695514242E-2</v>
      </c>
      <c r="F43" s="279"/>
      <c r="G43" s="278">
        <v>2.7931224143539386E-2</v>
      </c>
      <c r="H43" s="278">
        <v>3.5220405360293335E-4</v>
      </c>
      <c r="I43" s="278">
        <v>0</v>
      </c>
      <c r="J43" s="278">
        <f>SUM(G43:I43)</f>
        <v>2.8283428197142319E-2</v>
      </c>
      <c r="K43" s="279"/>
      <c r="L43" s="278">
        <v>1.2123929640237457E-2</v>
      </c>
      <c r="M43" s="278">
        <v>1.7579805337178053E-4</v>
      </c>
      <c r="N43" s="278">
        <v>0</v>
      </c>
      <c r="O43" s="278">
        <f>SUM(L43:N43)</f>
        <v>1.2299727693609238E-2</v>
      </c>
    </row>
    <row r="44" spans="1:15" s="212" customFormat="1">
      <c r="A44" s="213" t="str">
        <f>name!E$5</f>
        <v>Professional occupations</v>
      </c>
      <c r="B44" s="278">
        <v>1.3722672258455099E-2</v>
      </c>
      <c r="C44" s="278">
        <v>2.0598408510678388E-4</v>
      </c>
      <c r="D44" s="278">
        <v>7.6847186721759669E-3</v>
      </c>
      <c r="E44" s="278">
        <f t="shared" ref="E44:E51" si="28">SUM(B44:D44)</f>
        <v>2.1613375015737849E-2</v>
      </c>
      <c r="F44" s="279"/>
      <c r="G44" s="278">
        <v>3.0370048188825088E-2</v>
      </c>
      <c r="H44" s="278">
        <v>8.9926301828317974E-4</v>
      </c>
      <c r="I44" s="278">
        <v>0</v>
      </c>
      <c r="J44" s="278">
        <f t="shared" ref="J44:J46" si="29">SUM(G44:I44)</f>
        <v>3.1269311207108269E-2</v>
      </c>
      <c r="K44" s="279"/>
      <c r="L44" s="278">
        <v>1.5022550608924662E-2</v>
      </c>
      <c r="M44" s="278">
        <v>4.3875945043253881E-4</v>
      </c>
      <c r="N44" s="278">
        <v>0</v>
      </c>
      <c r="O44" s="278">
        <f t="shared" ref="O44:O51" si="30">SUM(L44:N44)</f>
        <v>1.54613100593572E-2</v>
      </c>
    </row>
    <row r="45" spans="1:15" s="212" customFormat="1">
      <c r="A45" s="213" t="str">
        <f>name!E$6</f>
        <v>Associate professional occupations</v>
      </c>
      <c r="B45" s="278">
        <v>1.0685792895927878E-2</v>
      </c>
      <c r="C45" s="278">
        <v>1.2829841107039625E-4</v>
      </c>
      <c r="D45" s="278">
        <v>4.3706222336457635E-3</v>
      </c>
      <c r="E45" s="278">
        <f t="shared" si="28"/>
        <v>1.5184713540644039E-2</v>
      </c>
      <c r="F45" s="279"/>
      <c r="G45" s="278">
        <v>2.747087872576124E-2</v>
      </c>
      <c r="H45" s="278">
        <v>5.2097859159094915E-4</v>
      </c>
      <c r="I45" s="278">
        <v>0</v>
      </c>
      <c r="J45" s="278">
        <f t="shared" si="29"/>
        <v>2.7991857317352188E-2</v>
      </c>
      <c r="K45" s="279"/>
      <c r="L45" s="278">
        <v>1.2172142840514859E-2</v>
      </c>
      <c r="M45" s="278">
        <v>2.2676069964198774E-4</v>
      </c>
      <c r="N45" s="278">
        <v>0</v>
      </c>
      <c r="O45" s="278">
        <f t="shared" si="30"/>
        <v>1.2398903540156847E-2</v>
      </c>
    </row>
    <row r="46" spans="1:15" s="212" customFormat="1">
      <c r="A46" s="213" t="str">
        <f>name!E$7</f>
        <v>Administrative and secretarial occupations</v>
      </c>
      <c r="B46" s="278">
        <v>1.7959337828748053E-3</v>
      </c>
      <c r="C46" s="278">
        <v>2.6254920956011269E-4</v>
      </c>
      <c r="D46" s="278">
        <v>2.0376736595088983E-3</v>
      </c>
      <c r="E46" s="278">
        <f t="shared" si="28"/>
        <v>4.0961566519438167E-3</v>
      </c>
      <c r="F46" s="279"/>
      <c r="G46" s="278">
        <v>8.8602063882325909E-3</v>
      </c>
      <c r="H46" s="278">
        <v>7.5937714980899777E-4</v>
      </c>
      <c r="I46" s="278">
        <v>0</v>
      </c>
      <c r="J46" s="278">
        <f t="shared" si="29"/>
        <v>9.619583538041588E-3</v>
      </c>
      <c r="K46" s="279"/>
      <c r="L46" s="278">
        <v>3.8712081458933435E-3</v>
      </c>
      <c r="M46" s="278">
        <v>2.8153781823428474E-4</v>
      </c>
      <c r="N46" s="278">
        <v>0</v>
      </c>
      <c r="O46" s="278">
        <f t="shared" si="30"/>
        <v>4.1527459641276286E-3</v>
      </c>
    </row>
    <row r="47" spans="1:15" s="212" customFormat="1">
      <c r="A47" s="213" t="str">
        <f>name!E$8</f>
        <v>Skilled trades occupations</v>
      </c>
      <c r="B47" s="278">
        <v>1.8164462160398267E-2</v>
      </c>
      <c r="C47" s="278">
        <v>4.7256682282723228E-5</v>
      </c>
      <c r="D47" s="278">
        <v>1.9061353539284974E-2</v>
      </c>
      <c r="E47" s="278">
        <f t="shared" si="28"/>
        <v>3.7273072381965963E-2</v>
      </c>
      <c r="F47" s="279"/>
      <c r="G47" s="278">
        <v>2.9018498966770355E-2</v>
      </c>
      <c r="H47" s="278">
        <v>2.1618211323059267E-4</v>
      </c>
      <c r="I47" s="278">
        <v>0</v>
      </c>
      <c r="J47" s="278">
        <f>SUM(G47:I47)</f>
        <v>2.9234681080000949E-2</v>
      </c>
      <c r="K47" s="279"/>
      <c r="L47" s="278">
        <v>9.5850256540834598E-3</v>
      </c>
      <c r="M47" s="278">
        <v>1.7903195941878231E-4</v>
      </c>
      <c r="N47" s="278">
        <v>0</v>
      </c>
      <c r="O47" s="278">
        <f t="shared" si="30"/>
        <v>9.7640576135022417E-3</v>
      </c>
    </row>
    <row r="48" spans="1:15" s="212" customFormat="1">
      <c r="A48" s="213" t="str">
        <f>name!E$9</f>
        <v>Caring, leisure and other service occupations</v>
      </c>
      <c r="B48" s="278">
        <v>2.4612581141613488E-3</v>
      </c>
      <c r="C48" s="278">
        <v>2.5350687147500378E-4</v>
      </c>
      <c r="D48" s="278">
        <v>6.0580583184498705E-4</v>
      </c>
      <c r="E48" s="278">
        <f t="shared" si="28"/>
        <v>3.3205708174813397E-3</v>
      </c>
      <c r="F48" s="279"/>
      <c r="G48" s="278">
        <v>3.3634956376107977E-3</v>
      </c>
      <c r="H48" s="278">
        <v>7.0002826025614433E-4</v>
      </c>
      <c r="I48" s="278">
        <v>0</v>
      </c>
      <c r="J48" s="278">
        <f t="shared" ref="J48:J51" si="31">SUM(G48:I48)</f>
        <v>4.0635238978669417E-3</v>
      </c>
      <c r="K48" s="279"/>
      <c r="L48" s="278">
        <v>1.2633937833541459E-3</v>
      </c>
      <c r="M48" s="278">
        <v>2.4144096252134487E-4</v>
      </c>
      <c r="N48" s="278">
        <v>0</v>
      </c>
      <c r="O48" s="278">
        <f t="shared" si="30"/>
        <v>1.5048347458754907E-3</v>
      </c>
    </row>
    <row r="49" spans="1:15" s="212" customFormat="1">
      <c r="A49" s="213" t="str">
        <f>name!E$10</f>
        <v>Sales and customer service occupations</v>
      </c>
      <c r="B49" s="278">
        <v>1.5572751652870736E-3</v>
      </c>
      <c r="C49" s="278">
        <v>2.8539328130527974E-4</v>
      </c>
      <c r="D49" s="278">
        <v>1.447476625848404E-3</v>
      </c>
      <c r="E49" s="278">
        <f t="shared" si="28"/>
        <v>3.2901450724407573E-3</v>
      </c>
      <c r="F49" s="279"/>
      <c r="G49" s="278">
        <v>3.4492304551169304E-3</v>
      </c>
      <c r="H49" s="278">
        <v>8.3256547848788122E-4</v>
      </c>
      <c r="I49" s="278">
        <v>0</v>
      </c>
      <c r="J49" s="278">
        <f t="shared" si="31"/>
        <v>4.2817959336048112E-3</v>
      </c>
      <c r="K49" s="279"/>
      <c r="L49" s="278">
        <v>1.536618834056692E-3</v>
      </c>
      <c r="M49" s="278">
        <v>3.6456658991184429E-4</v>
      </c>
      <c r="N49" s="278">
        <v>0</v>
      </c>
      <c r="O49" s="278">
        <f t="shared" si="30"/>
        <v>1.9011854239685362E-3</v>
      </c>
    </row>
    <row r="50" spans="1:15" s="212" customFormat="1">
      <c r="A50" s="213" t="str">
        <f>name!E$11</f>
        <v>Process, plant and machine operatives</v>
      </c>
      <c r="B50" s="278">
        <v>1.2515994455980575E-2</v>
      </c>
      <c r="C50" s="278">
        <v>6.6319278958667255E-5</v>
      </c>
      <c r="D50" s="278">
        <v>1.1789448713324081E-2</v>
      </c>
      <c r="E50" s="278">
        <f t="shared" si="28"/>
        <v>2.4371762448263324E-2</v>
      </c>
      <c r="F50" s="279"/>
      <c r="G50" s="278">
        <v>1.7545454711268383E-2</v>
      </c>
      <c r="H50" s="278">
        <v>5.460231786733337E-4</v>
      </c>
      <c r="I50" s="278">
        <v>0</v>
      </c>
      <c r="J50" s="278">
        <f t="shared" si="31"/>
        <v>1.8091477889941716E-2</v>
      </c>
      <c r="K50" s="279"/>
      <c r="L50" s="278">
        <v>4.615243419459741E-3</v>
      </c>
      <c r="M50" s="278">
        <v>2.7045355141028249E-4</v>
      </c>
      <c r="N50" s="278">
        <v>0</v>
      </c>
      <c r="O50" s="278">
        <f t="shared" si="30"/>
        <v>4.8856969708700234E-3</v>
      </c>
    </row>
    <row r="51" spans="1:15" s="212" customFormat="1">
      <c r="A51" s="213" t="str">
        <f>name!E$12</f>
        <v>Elementary occupations</v>
      </c>
      <c r="B51" s="278">
        <v>1.2516911100462508E-3</v>
      </c>
      <c r="C51" s="278">
        <v>2.9904887989266817E-4</v>
      </c>
      <c r="D51" s="278">
        <v>2.8753882386070021E-2</v>
      </c>
      <c r="E51" s="278">
        <f t="shared" si="28"/>
        <v>3.0304622376008939E-2</v>
      </c>
      <c r="F51" s="279"/>
      <c r="G51" s="278">
        <v>1.4737936036200384E-3</v>
      </c>
      <c r="H51" s="278">
        <v>6.9054733532144706E-4</v>
      </c>
      <c r="I51" s="278">
        <v>0</v>
      </c>
      <c r="J51" s="278">
        <f t="shared" si="31"/>
        <v>2.1643409389414856E-3</v>
      </c>
      <c r="K51" s="279"/>
      <c r="L51" s="278">
        <v>3.5108395118273904E-4</v>
      </c>
      <c r="M51" s="278">
        <v>2.8045403735005075E-4</v>
      </c>
      <c r="N51" s="278">
        <v>0</v>
      </c>
      <c r="O51" s="278">
        <f t="shared" si="30"/>
        <v>6.3153798853278985E-4</v>
      </c>
    </row>
    <row r="52" spans="1:15" s="212" customFormat="1">
      <c r="A52" s="213"/>
      <c r="B52" s="278"/>
      <c r="C52" s="278"/>
      <c r="D52" s="278"/>
      <c r="E52" s="278"/>
      <c r="F52" s="279"/>
      <c r="G52" s="278"/>
      <c r="H52" s="278"/>
      <c r="I52" s="278"/>
      <c r="J52" s="278"/>
      <c r="K52" s="279"/>
      <c r="L52" s="278"/>
      <c r="M52" s="278"/>
      <c r="N52" s="278"/>
      <c r="O52" s="278"/>
    </row>
    <row r="53" spans="1:15" s="212" customFormat="1">
      <c r="A53" s="220" t="s">
        <v>117</v>
      </c>
      <c r="B53" s="282">
        <f>SUM(B43:B51)</f>
        <v>7.4596837944941097E-2</v>
      </c>
      <c r="C53" s="282">
        <f t="shared" ref="C53:E53" si="32">SUM(C43:C51)</f>
        <v>1.600790513848908E-3</v>
      </c>
      <c r="D53" s="282">
        <f t="shared" si="32"/>
        <v>8.5802371541210259E-2</v>
      </c>
      <c r="E53" s="282">
        <f t="shared" si="32"/>
        <v>0.16200000000000028</v>
      </c>
      <c r="F53" s="282"/>
      <c r="G53" s="282">
        <f t="shared" ref="G53:J53" si="33">SUM(G43:G51)</f>
        <v>0.14948283082074484</v>
      </c>
      <c r="H53" s="282">
        <f t="shared" si="33"/>
        <v>5.5171691792554592E-3</v>
      </c>
      <c r="I53" s="282">
        <f t="shared" si="33"/>
        <v>0</v>
      </c>
      <c r="J53" s="282">
        <f t="shared" si="33"/>
        <v>0.15500000000000028</v>
      </c>
      <c r="K53" s="282"/>
      <c r="L53" s="282">
        <f t="shared" ref="L53:O53" si="34">SUM(L43:L51)</f>
        <v>6.0541196877707107E-2</v>
      </c>
      <c r="M53" s="282">
        <f t="shared" si="34"/>
        <v>2.4588031222928966E-3</v>
      </c>
      <c r="N53" s="282">
        <f t="shared" si="34"/>
        <v>0</v>
      </c>
      <c r="O53" s="282">
        <f t="shared" si="34"/>
        <v>6.3E-2</v>
      </c>
    </row>
    <row r="54" spans="1:15" s="212" customFormat="1">
      <c r="A54" s="213"/>
      <c r="B54" s="213"/>
      <c r="C54" s="213"/>
      <c r="D54" s="213"/>
      <c r="E54" s="213"/>
      <c r="F54" s="213"/>
      <c r="G54" s="213"/>
      <c r="H54" s="213"/>
      <c r="I54" s="213"/>
      <c r="J54" s="213"/>
      <c r="K54" s="213"/>
      <c r="L54" s="213"/>
      <c r="M54" s="213"/>
      <c r="N54" s="216"/>
    </row>
    <row r="55" spans="1:15" s="212" customFormat="1">
      <c r="A55" s="213"/>
      <c r="B55" s="213"/>
      <c r="C55" s="213"/>
      <c r="D55" s="213"/>
      <c r="E55" s="213"/>
      <c r="F55" s="213"/>
      <c r="G55" s="213"/>
      <c r="H55" s="213"/>
      <c r="I55" s="213"/>
      <c r="J55" s="213"/>
      <c r="K55" s="213"/>
      <c r="L55" s="213"/>
      <c r="M55" s="213"/>
      <c r="N55" s="216"/>
      <c r="O55" s="227" t="s">
        <v>112</v>
      </c>
    </row>
    <row r="56" spans="1:15" s="212" customFormat="1">
      <c r="A56" s="218"/>
      <c r="B56" s="218"/>
      <c r="C56" s="218"/>
      <c r="D56" s="218"/>
      <c r="E56" s="218"/>
      <c r="F56" s="218"/>
      <c r="G56" s="218"/>
      <c r="H56" s="218"/>
      <c r="I56" s="218"/>
      <c r="J56" s="218"/>
      <c r="K56" s="218"/>
      <c r="L56" s="218"/>
      <c r="M56" s="218"/>
      <c r="N56" s="218"/>
      <c r="O56" s="218"/>
    </row>
    <row r="57" spans="1:15" s="212" customFormat="1">
      <c r="A57" s="217" t="str">
        <f>name!B6</f>
        <v>Food drink and tobacco</v>
      </c>
      <c r="B57" s="349">
        <f>$B$6</f>
        <v>2015</v>
      </c>
      <c r="C57" s="349"/>
      <c r="D57" s="349"/>
      <c r="E57" s="349"/>
      <c r="F57" s="239"/>
      <c r="G57" s="349">
        <f>$G$6</f>
        <v>2020</v>
      </c>
      <c r="H57" s="349"/>
      <c r="I57" s="349"/>
      <c r="J57" s="349"/>
      <c r="K57" s="239"/>
      <c r="L57" s="349">
        <f>$L$6</f>
        <v>2035</v>
      </c>
      <c r="M57" s="349"/>
      <c r="N57" s="349"/>
      <c r="O57" s="349"/>
    </row>
    <row r="58" spans="1:15" s="212" customFormat="1">
      <c r="A58" s="230"/>
      <c r="B58" s="244" t="str">
        <f>$B$7</f>
        <v>FT</v>
      </c>
      <c r="C58" s="244" t="str">
        <f>$C$7</f>
        <v>PT</v>
      </c>
      <c r="D58" s="244" t="str">
        <f>$D$7</f>
        <v>SE</v>
      </c>
      <c r="E58" s="244" t="str">
        <f>$E$7</f>
        <v>Total</v>
      </c>
      <c r="F58" s="244"/>
      <c r="G58" s="244" t="str">
        <f>$G$7</f>
        <v>FT</v>
      </c>
      <c r="H58" s="244" t="str">
        <f>$H$7</f>
        <v>PT</v>
      </c>
      <c r="I58" s="244" t="str">
        <f>$I$7</f>
        <v>SE</v>
      </c>
      <c r="J58" s="244" t="str">
        <f>$J$7</f>
        <v>Total</v>
      </c>
      <c r="K58" s="244"/>
      <c r="L58" s="244" t="str">
        <f>$L$7</f>
        <v>FT</v>
      </c>
      <c r="M58" s="244" t="str">
        <f>$M$7</f>
        <v>PT</v>
      </c>
      <c r="N58" s="244" t="str">
        <f>$N$7</f>
        <v>SE</v>
      </c>
      <c r="O58" s="244" t="str">
        <f>$O$7</f>
        <v>Total</v>
      </c>
    </row>
    <row r="59" spans="1:15" s="212" customFormat="1">
      <c r="A59" s="234"/>
      <c r="B59" s="215"/>
      <c r="C59" s="215"/>
      <c r="D59" s="215"/>
      <c r="E59" s="215"/>
      <c r="F59" s="215"/>
      <c r="G59" s="215"/>
      <c r="H59" s="215"/>
      <c r="I59" s="215"/>
      <c r="J59" s="215"/>
      <c r="K59" s="215"/>
      <c r="L59" s="215"/>
      <c r="M59" s="215"/>
      <c r="N59" s="215"/>
      <c r="O59" s="215"/>
    </row>
    <row r="60" spans="1:15" s="212" customFormat="1">
      <c r="A60" s="213" t="str">
        <f>name!E$4</f>
        <v>Managers, directors and senior officials</v>
      </c>
      <c r="B60" s="278">
        <v>0.37808291514005626</v>
      </c>
      <c r="C60" s="278">
        <v>2.0319094955787414E-2</v>
      </c>
      <c r="D60" s="278">
        <v>4.9835279490476309E-2</v>
      </c>
      <c r="E60" s="278">
        <f>SUM(B60:D60)</f>
        <v>0.44823728958632003</v>
      </c>
      <c r="F60" s="279"/>
      <c r="G60" s="278">
        <v>0.45629196225776558</v>
      </c>
      <c r="H60" s="278">
        <v>3.9282303756468212E-2</v>
      </c>
      <c r="I60" s="278">
        <v>2.7963183724488711E-2</v>
      </c>
      <c r="J60" s="278">
        <f>SUM(G60:I60)</f>
        <v>0.52353744973872252</v>
      </c>
      <c r="K60" s="279"/>
      <c r="L60" s="278">
        <v>0.42283999135321204</v>
      </c>
      <c r="M60" s="278">
        <v>3.2949931877795872E-2</v>
      </c>
      <c r="N60" s="278">
        <v>2.9291429861630476E-2</v>
      </c>
      <c r="O60" s="278">
        <f>SUM(L60:N60)</f>
        <v>0.48508135309263839</v>
      </c>
    </row>
    <row r="61" spans="1:15" s="212" customFormat="1">
      <c r="A61" s="213" t="str">
        <f>name!E$5</f>
        <v>Professional occupations</v>
      </c>
      <c r="B61" s="278">
        <v>0.37219881513418351</v>
      </c>
      <c r="C61" s="278">
        <v>1.9586115372776419E-2</v>
      </c>
      <c r="D61" s="278">
        <v>3.0131562939928521E-2</v>
      </c>
      <c r="E61" s="278">
        <f t="shared" ref="E61:E68" si="35">SUM(B61:D61)</f>
        <v>0.42191649344688847</v>
      </c>
      <c r="F61" s="279"/>
      <c r="G61" s="278">
        <v>0.51120758846198833</v>
      </c>
      <c r="H61" s="278">
        <v>2.9698915928081982E-2</v>
      </c>
      <c r="I61" s="278">
        <v>2.3328987457889909E-2</v>
      </c>
      <c r="J61" s="278">
        <f t="shared" ref="J61:J63" si="36">SUM(G61:I61)</f>
        <v>0.56423549184796018</v>
      </c>
      <c r="K61" s="279"/>
      <c r="L61" s="278">
        <v>0.68101286809072359</v>
      </c>
      <c r="M61" s="278">
        <v>2.6917228500950706E-2</v>
      </c>
      <c r="N61" s="278">
        <v>1.5776415383976422E-2</v>
      </c>
      <c r="O61" s="278">
        <f t="shared" ref="O61:O68" si="37">SUM(L61:N61)</f>
        <v>0.72370651197565072</v>
      </c>
    </row>
    <row r="62" spans="1:15" s="212" customFormat="1">
      <c r="A62" s="213" t="str">
        <f>name!E$6</f>
        <v>Associate professional occupations</v>
      </c>
      <c r="B62" s="278">
        <v>0.49538407814748231</v>
      </c>
      <c r="C62" s="278">
        <v>3.7527073684416525E-2</v>
      </c>
      <c r="D62" s="278">
        <v>2.2078343442496432E-2</v>
      </c>
      <c r="E62" s="278">
        <f t="shared" si="35"/>
        <v>0.55498949527439534</v>
      </c>
      <c r="F62" s="279"/>
      <c r="G62" s="278">
        <v>0.61547760085543834</v>
      </c>
      <c r="H62" s="278">
        <v>4.8666651593559561E-2</v>
      </c>
      <c r="I62" s="278">
        <v>1.3047295081405447E-2</v>
      </c>
      <c r="J62" s="278">
        <f t="shared" si="36"/>
        <v>0.67719154753040334</v>
      </c>
      <c r="K62" s="279"/>
      <c r="L62" s="278">
        <v>0.66073053691715589</v>
      </c>
      <c r="M62" s="278">
        <v>3.5111318607476835E-2</v>
      </c>
      <c r="N62" s="278">
        <v>1.0574638935330369E-2</v>
      </c>
      <c r="O62" s="278">
        <f t="shared" si="37"/>
        <v>0.70641649445996313</v>
      </c>
    </row>
    <row r="63" spans="1:15" s="212" customFormat="1">
      <c r="A63" s="213" t="str">
        <f>name!E$7</f>
        <v>Administrative and secretarial occupations</v>
      </c>
      <c r="B63" s="278">
        <v>0.3658990971503942</v>
      </c>
      <c r="C63" s="278">
        <v>7.6328597394663203E-2</v>
      </c>
      <c r="D63" s="278">
        <v>1.3144891685936098E-2</v>
      </c>
      <c r="E63" s="278">
        <f t="shared" si="35"/>
        <v>0.45537258623099347</v>
      </c>
      <c r="F63" s="279"/>
      <c r="G63" s="278">
        <v>0.39852657985808299</v>
      </c>
      <c r="H63" s="278">
        <v>7.2803692938071943E-2</v>
      </c>
      <c r="I63" s="278">
        <v>7.7744154050380029E-3</v>
      </c>
      <c r="J63" s="278">
        <f t="shared" si="36"/>
        <v>0.4791046882011929</v>
      </c>
      <c r="K63" s="279"/>
      <c r="L63" s="278">
        <v>0.42822657171189676</v>
      </c>
      <c r="M63" s="278">
        <v>3.678641451547638E-2</v>
      </c>
      <c r="N63" s="278">
        <v>7.8361767943606834E-3</v>
      </c>
      <c r="O63" s="278">
        <f t="shared" si="37"/>
        <v>0.4728491630217338</v>
      </c>
    </row>
    <row r="64" spans="1:15" s="212" customFormat="1">
      <c r="A64" s="213" t="str">
        <f>name!E$8</f>
        <v>Skilled trades occupations</v>
      </c>
      <c r="B64" s="278">
        <v>0.84594824352549036</v>
      </c>
      <c r="C64" s="278">
        <v>6.3660570853574946E-2</v>
      </c>
      <c r="D64" s="278">
        <v>0.14771991423227349</v>
      </c>
      <c r="E64" s="278">
        <f t="shared" si="35"/>
        <v>1.0573287286113389</v>
      </c>
      <c r="F64" s="279"/>
      <c r="G64" s="278">
        <v>0.64688218136002251</v>
      </c>
      <c r="H64" s="278">
        <v>6.0691880082259619E-2</v>
      </c>
      <c r="I64" s="278">
        <v>4.7750429624658287E-2</v>
      </c>
      <c r="J64" s="278">
        <f>SUM(G64:I64)</f>
        <v>0.75532449106694033</v>
      </c>
      <c r="K64" s="279"/>
      <c r="L64" s="278">
        <v>0.53944502849648213</v>
      </c>
      <c r="M64" s="278">
        <v>5.3587451369841263E-2</v>
      </c>
      <c r="N64" s="278">
        <v>4.2040293653213004E-2</v>
      </c>
      <c r="O64" s="278">
        <f t="shared" si="37"/>
        <v>0.63507277351953639</v>
      </c>
    </row>
    <row r="65" spans="1:15" s="212" customFormat="1">
      <c r="A65" s="213" t="str">
        <f>name!E$9</f>
        <v>Caring, leisure and other service occupations</v>
      </c>
      <c r="B65" s="278">
        <v>4.8246370330338358E-2</v>
      </c>
      <c r="C65" s="278">
        <v>7.7982633633947897E-3</v>
      </c>
      <c r="D65" s="278">
        <v>8.2554280565590027E-3</v>
      </c>
      <c r="E65" s="278">
        <f t="shared" si="35"/>
        <v>6.4300061750292153E-2</v>
      </c>
      <c r="F65" s="279"/>
      <c r="G65" s="278">
        <v>5.6105682731124838E-2</v>
      </c>
      <c r="H65" s="278">
        <v>8.6955393183078648E-3</v>
      </c>
      <c r="I65" s="278">
        <v>7.7658051279126906E-3</v>
      </c>
      <c r="J65" s="278">
        <f t="shared" ref="J65:J68" si="38">SUM(G65:I65)</f>
        <v>7.2567027177345395E-2</v>
      </c>
      <c r="K65" s="279"/>
      <c r="L65" s="278">
        <v>5.2512607039215849E-2</v>
      </c>
      <c r="M65" s="278">
        <v>5.8854853873275556E-3</v>
      </c>
      <c r="N65" s="278">
        <v>9.368268879409199E-3</v>
      </c>
      <c r="O65" s="278">
        <f t="shared" si="37"/>
        <v>6.7766361305952608E-2</v>
      </c>
    </row>
    <row r="66" spans="1:15" s="212" customFormat="1">
      <c r="A66" s="213" t="str">
        <f>name!E$10</f>
        <v>Sales and customer service occupations</v>
      </c>
      <c r="B66" s="278">
        <v>9.7239733687779786E-2</v>
      </c>
      <c r="C66" s="278">
        <v>6.6963585724478025E-2</v>
      </c>
      <c r="D66" s="278">
        <v>1.3699913662745316E-2</v>
      </c>
      <c r="E66" s="278">
        <f t="shared" si="35"/>
        <v>0.17790323307500311</v>
      </c>
      <c r="F66" s="279"/>
      <c r="G66" s="278">
        <v>9.9455836029119782E-2</v>
      </c>
      <c r="H66" s="278">
        <v>6.5696369927196921E-2</v>
      </c>
      <c r="I66" s="278">
        <v>7.6081154991383629E-3</v>
      </c>
      <c r="J66" s="278">
        <f t="shared" si="38"/>
        <v>0.17276032145545506</v>
      </c>
      <c r="K66" s="279"/>
      <c r="L66" s="278">
        <v>0.10879531414585364</v>
      </c>
      <c r="M66" s="278">
        <v>4.6303430801976096E-2</v>
      </c>
      <c r="N66" s="278">
        <v>6.49538098719399E-3</v>
      </c>
      <c r="O66" s="278">
        <f t="shared" si="37"/>
        <v>0.16159412593502373</v>
      </c>
    </row>
    <row r="67" spans="1:15" s="212" customFormat="1">
      <c r="A67" s="213" t="str">
        <f>name!E$11</f>
        <v>Process, plant and machine operatives</v>
      </c>
      <c r="B67" s="278">
        <v>2.2978490599853867</v>
      </c>
      <c r="C67" s="278">
        <v>0.28810505349134985</v>
      </c>
      <c r="D67" s="278">
        <v>4.4223373280896837E-2</v>
      </c>
      <c r="E67" s="278">
        <f t="shared" si="35"/>
        <v>2.6301774867576335</v>
      </c>
      <c r="F67" s="279"/>
      <c r="G67" s="278">
        <v>1.7855455381414054</v>
      </c>
      <c r="H67" s="278">
        <v>0.30976925611844419</v>
      </c>
      <c r="I67" s="278">
        <v>2.6657456071985809E-2</v>
      </c>
      <c r="J67" s="278">
        <f t="shared" si="38"/>
        <v>2.1219722503318352</v>
      </c>
      <c r="K67" s="279"/>
      <c r="L67" s="278">
        <v>1.4585827440367996</v>
      </c>
      <c r="M67" s="278">
        <v>0.2902335964266568</v>
      </c>
      <c r="N67" s="278">
        <v>3.1231901425262835E-2</v>
      </c>
      <c r="O67" s="278">
        <f t="shared" si="37"/>
        <v>1.7800482418887191</v>
      </c>
    </row>
    <row r="68" spans="1:15" s="212" customFormat="1">
      <c r="A68" s="213" t="str">
        <f>name!E$12</f>
        <v>Elementary occupations</v>
      </c>
      <c r="B68" s="278">
        <v>1.0562008179644238</v>
      </c>
      <c r="C68" s="278">
        <v>0.132153073780542</v>
      </c>
      <c r="D68" s="278">
        <v>1.3420733522159016E-2</v>
      </c>
      <c r="E68" s="278">
        <f t="shared" si="35"/>
        <v>1.2017746252671249</v>
      </c>
      <c r="F68" s="279"/>
      <c r="G68" s="278">
        <v>0.80731241180065261</v>
      </c>
      <c r="H68" s="278">
        <v>0.11748133050086933</v>
      </c>
      <c r="I68" s="278">
        <v>5.5129903486233634E-3</v>
      </c>
      <c r="J68" s="278">
        <f t="shared" si="38"/>
        <v>0.9303067326501453</v>
      </c>
      <c r="K68" s="279"/>
      <c r="L68" s="278">
        <v>0.93525972743723418</v>
      </c>
      <c r="M68" s="278">
        <v>0.20112671862304876</v>
      </c>
      <c r="N68" s="278">
        <v>2.00785287404803E-2</v>
      </c>
      <c r="O68" s="278">
        <f t="shared" si="37"/>
        <v>1.1564649748007632</v>
      </c>
    </row>
    <row r="69" spans="1:15" s="212" customFormat="1">
      <c r="A69" s="213"/>
      <c r="B69" s="278"/>
      <c r="C69" s="278"/>
      <c r="D69" s="278"/>
      <c r="E69" s="278"/>
      <c r="F69" s="279"/>
      <c r="G69" s="278"/>
      <c r="H69" s="278"/>
      <c r="I69" s="278"/>
      <c r="J69" s="278"/>
      <c r="K69" s="279"/>
      <c r="L69" s="278"/>
      <c r="M69" s="278"/>
      <c r="N69" s="278"/>
      <c r="O69" s="278"/>
    </row>
    <row r="70" spans="1:15" s="212" customFormat="1">
      <c r="A70" s="220" t="s">
        <v>117</v>
      </c>
      <c r="B70" s="282">
        <f>SUM(B60:B68)</f>
        <v>5.9570491310655349</v>
      </c>
      <c r="C70" s="282">
        <f t="shared" ref="C70:E70" si="39">SUM(C60:C68)</f>
        <v>0.71244142862098314</v>
      </c>
      <c r="D70" s="282">
        <f t="shared" si="39"/>
        <v>0.34250944031347097</v>
      </c>
      <c r="E70" s="282">
        <f t="shared" si="39"/>
        <v>7.0119999999999898</v>
      </c>
      <c r="F70" s="282"/>
      <c r="G70" s="282">
        <f t="shared" ref="G70:J70" si="40">SUM(G60:G68)</f>
        <v>5.3768053814956005</v>
      </c>
      <c r="H70" s="282">
        <f t="shared" si="40"/>
        <v>0.7527859401632595</v>
      </c>
      <c r="I70" s="282">
        <f t="shared" si="40"/>
        <v>0.16740867834114059</v>
      </c>
      <c r="J70" s="282">
        <f t="shared" si="40"/>
        <v>6.2970000000000006</v>
      </c>
      <c r="K70" s="282"/>
      <c r="L70" s="282">
        <f t="shared" ref="L70:O70" si="41">SUM(L60:L68)</f>
        <v>5.2874053892285744</v>
      </c>
      <c r="M70" s="282">
        <f t="shared" si="41"/>
        <v>0.72890157611055029</v>
      </c>
      <c r="N70" s="282">
        <f t="shared" si="41"/>
        <v>0.17269303466085728</v>
      </c>
      <c r="O70" s="282">
        <f t="shared" si="41"/>
        <v>6.1889999999999814</v>
      </c>
    </row>
    <row r="71" spans="1:15" s="212" customFormat="1">
      <c r="A71" s="213"/>
      <c r="B71" s="213"/>
      <c r="C71" s="213"/>
      <c r="D71" s="213"/>
      <c r="E71" s="213"/>
      <c r="F71" s="213"/>
      <c r="G71" s="213"/>
      <c r="H71" s="213"/>
      <c r="I71" s="213"/>
      <c r="J71" s="213"/>
      <c r="K71" s="213"/>
      <c r="L71" s="213"/>
      <c r="M71" s="213"/>
      <c r="N71" s="216"/>
    </row>
    <row r="72" spans="1:15" s="212" customFormat="1">
      <c r="A72" s="213"/>
      <c r="B72" s="213"/>
      <c r="C72" s="213"/>
      <c r="D72" s="213"/>
      <c r="E72" s="213"/>
      <c r="F72" s="213"/>
      <c r="G72" s="213"/>
      <c r="H72" s="213"/>
      <c r="I72" s="213"/>
      <c r="J72" s="213"/>
      <c r="K72" s="213"/>
      <c r="L72" s="213"/>
      <c r="M72" s="213"/>
      <c r="N72" s="216"/>
      <c r="O72" s="227" t="s">
        <v>112</v>
      </c>
    </row>
    <row r="73" spans="1:15" s="212" customFormat="1">
      <c r="A73" s="218"/>
      <c r="B73" s="218"/>
      <c r="C73" s="218"/>
      <c r="D73" s="218"/>
      <c r="E73" s="218"/>
      <c r="F73" s="218"/>
      <c r="G73" s="218"/>
      <c r="H73" s="218"/>
      <c r="I73" s="218"/>
      <c r="J73" s="218"/>
      <c r="K73" s="218"/>
      <c r="L73" s="218"/>
      <c r="M73" s="218"/>
      <c r="N73" s="218"/>
      <c r="O73" s="218"/>
    </row>
    <row r="74" spans="1:15" s="212" customFormat="1">
      <c r="A74" s="217" t="str">
        <f>name!B7</f>
        <v>Engineering</v>
      </c>
      <c r="B74" s="349">
        <f>$B$6</f>
        <v>2015</v>
      </c>
      <c r="C74" s="349"/>
      <c r="D74" s="349"/>
      <c r="E74" s="349"/>
      <c r="F74" s="239"/>
      <c r="G74" s="349">
        <f>$G$6</f>
        <v>2020</v>
      </c>
      <c r="H74" s="349"/>
      <c r="I74" s="349"/>
      <c r="J74" s="349"/>
      <c r="K74" s="239"/>
      <c r="L74" s="349">
        <f>$L$6</f>
        <v>2035</v>
      </c>
      <c r="M74" s="349"/>
      <c r="N74" s="349"/>
      <c r="O74" s="349"/>
    </row>
    <row r="75" spans="1:15" s="212" customFormat="1">
      <c r="A75" s="230"/>
      <c r="B75" s="244" t="str">
        <f>$B$7</f>
        <v>FT</v>
      </c>
      <c r="C75" s="244" t="str">
        <f>$C$7</f>
        <v>PT</v>
      </c>
      <c r="D75" s="244" t="str">
        <f>$D$7</f>
        <v>SE</v>
      </c>
      <c r="E75" s="244" t="str">
        <f>$E$7</f>
        <v>Total</v>
      </c>
      <c r="F75" s="244"/>
      <c r="G75" s="244" t="str">
        <f>$G$7</f>
        <v>FT</v>
      </c>
      <c r="H75" s="244" t="str">
        <f>$H$7</f>
        <v>PT</v>
      </c>
      <c r="I75" s="244" t="str">
        <f>$I$7</f>
        <v>SE</v>
      </c>
      <c r="J75" s="244" t="str">
        <f>$J$7</f>
        <v>Total</v>
      </c>
      <c r="K75" s="244"/>
      <c r="L75" s="244" t="str">
        <f>$L$7</f>
        <v>FT</v>
      </c>
      <c r="M75" s="244" t="str">
        <f>$M$7</f>
        <v>PT</v>
      </c>
      <c r="N75" s="244" t="str">
        <f>$N$7</f>
        <v>SE</v>
      </c>
      <c r="O75" s="244" t="str">
        <f>$O$7</f>
        <v>Total</v>
      </c>
    </row>
    <row r="76" spans="1:15" s="212" customFormat="1">
      <c r="A76" s="234"/>
      <c r="B76" s="215"/>
      <c r="C76" s="215"/>
      <c r="D76" s="215"/>
      <c r="E76" s="215"/>
      <c r="F76" s="215"/>
      <c r="G76" s="215"/>
      <c r="H76" s="215"/>
      <c r="I76" s="215"/>
      <c r="J76" s="215"/>
      <c r="K76" s="215"/>
      <c r="L76" s="215"/>
      <c r="M76" s="215"/>
      <c r="N76" s="215"/>
      <c r="O76" s="215"/>
    </row>
    <row r="77" spans="1:15" s="212" customFormat="1">
      <c r="A77" s="213" t="str">
        <f>name!E$4</f>
        <v>Managers, directors and senior officials</v>
      </c>
      <c r="B77" s="278">
        <v>0.66107542131043628</v>
      </c>
      <c r="C77" s="278">
        <v>4.1650966151107333E-2</v>
      </c>
      <c r="D77" s="278">
        <v>6.134467968539184E-2</v>
      </c>
      <c r="E77" s="278">
        <f>SUM(B77:D77)</f>
        <v>0.7640710671469354</v>
      </c>
      <c r="F77" s="279"/>
      <c r="G77" s="278">
        <v>0.81192836497510279</v>
      </c>
      <c r="H77" s="278">
        <v>7.2406038023119818E-2</v>
      </c>
      <c r="I77" s="278">
        <v>6.9966767375630567E-2</v>
      </c>
      <c r="J77" s="278">
        <f>SUM(G77:I77)</f>
        <v>0.9543011703738532</v>
      </c>
      <c r="K77" s="279"/>
      <c r="L77" s="278">
        <v>0.70265967762892889</v>
      </c>
      <c r="M77" s="278">
        <v>8.0501657693832523E-2</v>
      </c>
      <c r="N77" s="278">
        <v>6.7672330567575656E-2</v>
      </c>
      <c r="O77" s="278">
        <f>SUM(L77:N77)</f>
        <v>0.85083366589033704</v>
      </c>
    </row>
    <row r="78" spans="1:15" s="212" customFormat="1">
      <c r="A78" s="213" t="str">
        <f>name!E$5</f>
        <v>Professional occupations</v>
      </c>
      <c r="B78" s="278">
        <v>1.2030510038934883</v>
      </c>
      <c r="C78" s="278">
        <v>3.5574425231310283E-2</v>
      </c>
      <c r="D78" s="278">
        <v>7.9123114134182063E-2</v>
      </c>
      <c r="E78" s="278">
        <f t="shared" ref="E78:E85" si="42">SUM(B78:D78)</f>
        <v>1.3177485432589808</v>
      </c>
      <c r="F78" s="279"/>
      <c r="G78" s="278">
        <v>1.5968300011470289</v>
      </c>
      <c r="H78" s="278">
        <v>6.0578231465390119E-2</v>
      </c>
      <c r="I78" s="278">
        <v>5.2070365264528302E-2</v>
      </c>
      <c r="J78" s="278">
        <f t="shared" ref="J78:J80" si="43">SUM(G78:I78)</f>
        <v>1.7094785978769473</v>
      </c>
      <c r="K78" s="279"/>
      <c r="L78" s="278">
        <v>2.0012672808305023</v>
      </c>
      <c r="M78" s="278">
        <v>6.5978001856448559E-2</v>
      </c>
      <c r="N78" s="278">
        <v>4.1724996625176945E-2</v>
      </c>
      <c r="O78" s="278">
        <f t="shared" ref="O78:O85" si="44">SUM(L78:N78)</f>
        <v>2.1089702793121279</v>
      </c>
    </row>
    <row r="79" spans="1:15" s="212" customFormat="1">
      <c r="A79" s="213" t="str">
        <f>name!E$6</f>
        <v>Associate professional occupations</v>
      </c>
      <c r="B79" s="278">
        <v>0.63622404885780137</v>
      </c>
      <c r="C79" s="278">
        <v>3.9484182160842422E-2</v>
      </c>
      <c r="D79" s="278">
        <v>2.4046578122786103E-2</v>
      </c>
      <c r="E79" s="278">
        <f t="shared" si="42"/>
        <v>0.69975480914142985</v>
      </c>
      <c r="F79" s="279"/>
      <c r="G79" s="278">
        <v>0.8172513010898137</v>
      </c>
      <c r="H79" s="278">
        <v>4.7012546749497883E-2</v>
      </c>
      <c r="I79" s="278">
        <v>1.9751053014125861E-2</v>
      </c>
      <c r="J79" s="278">
        <f t="shared" si="43"/>
        <v>0.88401490085343737</v>
      </c>
      <c r="K79" s="279"/>
      <c r="L79" s="278">
        <v>0.77171668509353963</v>
      </c>
      <c r="M79" s="278">
        <v>4.1973463569436577E-2</v>
      </c>
      <c r="N79" s="278">
        <v>2.120520433614189E-2</v>
      </c>
      <c r="O79" s="278">
        <f t="shared" si="44"/>
        <v>0.8348953529991181</v>
      </c>
    </row>
    <row r="80" spans="1:15" s="212" customFormat="1">
      <c r="A80" s="213" t="str">
        <f>name!E$7</f>
        <v>Administrative and secretarial occupations</v>
      </c>
      <c r="B80" s="278">
        <v>0.38807087767039111</v>
      </c>
      <c r="C80" s="278">
        <v>0.15616721125904004</v>
      </c>
      <c r="D80" s="278">
        <v>1.2400378339436855E-2</v>
      </c>
      <c r="E80" s="278">
        <f t="shared" si="42"/>
        <v>0.55663846726886801</v>
      </c>
      <c r="F80" s="279"/>
      <c r="G80" s="278">
        <v>0.45943470169021045</v>
      </c>
      <c r="H80" s="278">
        <v>0.16170895493550483</v>
      </c>
      <c r="I80" s="278">
        <v>1.9922667403879549E-2</v>
      </c>
      <c r="J80" s="278">
        <f t="shared" si="43"/>
        <v>0.64106632402959485</v>
      </c>
      <c r="K80" s="279"/>
      <c r="L80" s="278">
        <v>0.41218399081294649</v>
      </c>
      <c r="M80" s="278">
        <v>0.12192590582040065</v>
      </c>
      <c r="N80" s="278">
        <v>1.2627568713383597E-2</v>
      </c>
      <c r="O80" s="278">
        <f t="shared" si="44"/>
        <v>0.54673746534673073</v>
      </c>
    </row>
    <row r="81" spans="1:15" s="212" customFormat="1">
      <c r="A81" s="213" t="str">
        <f>name!E$8</f>
        <v>Skilled trades occupations</v>
      </c>
      <c r="B81" s="278">
        <v>1.7035669299110323</v>
      </c>
      <c r="C81" s="278">
        <v>3.514661502270832E-2</v>
      </c>
      <c r="D81" s="278">
        <v>0.14940510431637752</v>
      </c>
      <c r="E81" s="278">
        <f t="shared" si="42"/>
        <v>1.8881186492501181</v>
      </c>
      <c r="F81" s="279"/>
      <c r="G81" s="278">
        <v>1.5538474717677517</v>
      </c>
      <c r="H81" s="278">
        <v>3.3586772732791023E-2</v>
      </c>
      <c r="I81" s="278">
        <v>8.3096924379488124E-2</v>
      </c>
      <c r="J81" s="278">
        <f>SUM(G81:I81)</f>
        <v>1.6705311688800308</v>
      </c>
      <c r="K81" s="279"/>
      <c r="L81" s="278">
        <v>1.2151855669765408</v>
      </c>
      <c r="M81" s="278">
        <v>3.0421480215714069E-2</v>
      </c>
      <c r="N81" s="278">
        <v>8.7903426776141186E-2</v>
      </c>
      <c r="O81" s="278">
        <f t="shared" si="44"/>
        <v>1.3335104739683961</v>
      </c>
    </row>
    <row r="82" spans="1:15" s="212" customFormat="1">
      <c r="A82" s="213" t="str">
        <f>name!E$9</f>
        <v>Caring, leisure and other service occupations</v>
      </c>
      <c r="B82" s="278">
        <v>2.4347688524107541E-2</v>
      </c>
      <c r="C82" s="278">
        <v>1.3695707352939556E-2</v>
      </c>
      <c r="D82" s="278">
        <v>9.1629985741513379E-3</v>
      </c>
      <c r="E82" s="278">
        <f t="shared" si="42"/>
        <v>4.7206394451198432E-2</v>
      </c>
      <c r="F82" s="279"/>
      <c r="G82" s="278">
        <v>2.6886241664401112E-2</v>
      </c>
      <c r="H82" s="278">
        <v>1.333967327977254E-2</v>
      </c>
      <c r="I82" s="278">
        <v>1.8400956414734833E-2</v>
      </c>
      <c r="J82" s="278">
        <f t="shared" ref="J82:J85" si="45">SUM(G82:I82)</f>
        <v>5.8626871358908483E-2</v>
      </c>
      <c r="K82" s="279"/>
      <c r="L82" s="278">
        <v>2.1012599856224071E-2</v>
      </c>
      <c r="M82" s="278">
        <v>9.7626980855200877E-3</v>
      </c>
      <c r="N82" s="278">
        <v>3.1924203931409829E-2</v>
      </c>
      <c r="O82" s="278">
        <f t="shared" si="44"/>
        <v>6.2699501873153984E-2</v>
      </c>
    </row>
    <row r="83" spans="1:15" s="212" customFormat="1">
      <c r="A83" s="213" t="str">
        <f>name!E$10</f>
        <v>Sales and customer service occupations</v>
      </c>
      <c r="B83" s="278">
        <v>0.14078195154164402</v>
      </c>
      <c r="C83" s="278">
        <v>4.9451004378486561E-2</v>
      </c>
      <c r="D83" s="278">
        <v>8.5759535224060549E-3</v>
      </c>
      <c r="E83" s="278">
        <f t="shared" si="42"/>
        <v>0.19880890944253665</v>
      </c>
      <c r="F83" s="279"/>
      <c r="G83" s="278">
        <v>0.15959819275433057</v>
      </c>
      <c r="H83" s="278">
        <v>6.4406220929289354E-2</v>
      </c>
      <c r="I83" s="278">
        <v>8.2531445534246954E-3</v>
      </c>
      <c r="J83" s="278">
        <f t="shared" si="45"/>
        <v>0.23225755823704461</v>
      </c>
      <c r="K83" s="279"/>
      <c r="L83" s="278">
        <v>0.14165683217495637</v>
      </c>
      <c r="M83" s="278">
        <v>9.1577987011294285E-2</v>
      </c>
      <c r="N83" s="278">
        <v>6.6386776847080558E-3</v>
      </c>
      <c r="O83" s="278">
        <f t="shared" si="44"/>
        <v>0.23987349687095871</v>
      </c>
    </row>
    <row r="84" spans="1:15" s="212" customFormat="1">
      <c r="A84" s="213" t="str">
        <f>name!E$11</f>
        <v>Process, plant and machine operatives</v>
      </c>
      <c r="B84" s="278">
        <v>1.1400991521855273</v>
      </c>
      <c r="C84" s="278">
        <v>5.0784658794610096E-2</v>
      </c>
      <c r="D84" s="278">
        <v>2.4265828469945513E-2</v>
      </c>
      <c r="E84" s="278">
        <f t="shared" si="42"/>
        <v>1.2151496394500829</v>
      </c>
      <c r="F84" s="279"/>
      <c r="G84" s="278">
        <v>0.96268814814825654</v>
      </c>
      <c r="H84" s="278">
        <v>4.8190228537691296E-2</v>
      </c>
      <c r="I84" s="278">
        <v>1.8747353507519497E-2</v>
      </c>
      <c r="J84" s="278">
        <f t="shared" si="45"/>
        <v>1.0296257301934675</v>
      </c>
      <c r="K84" s="279"/>
      <c r="L84" s="278">
        <v>0.80523763262466663</v>
      </c>
      <c r="M84" s="278">
        <v>3.3573745628133554E-2</v>
      </c>
      <c r="N84" s="278">
        <v>1.9089077894916838E-2</v>
      </c>
      <c r="O84" s="278">
        <f t="shared" si="44"/>
        <v>0.85790045614771704</v>
      </c>
    </row>
    <row r="85" spans="1:15" s="212" customFormat="1">
      <c r="A85" s="213" t="str">
        <f>name!E$12</f>
        <v>Elementary occupations</v>
      </c>
      <c r="B85" s="278">
        <v>0.22491389478413173</v>
      </c>
      <c r="C85" s="278">
        <v>3.0261854923268258E-2</v>
      </c>
      <c r="D85" s="278">
        <v>1.7327770882455164E-2</v>
      </c>
      <c r="E85" s="278">
        <f t="shared" si="42"/>
        <v>0.27250352058985516</v>
      </c>
      <c r="F85" s="279"/>
      <c r="G85" s="278">
        <v>0.18963401052162318</v>
      </c>
      <c r="H85" s="278">
        <v>3.0264095249062775E-2</v>
      </c>
      <c r="I85" s="278">
        <v>1.5199572426018139E-2</v>
      </c>
      <c r="J85" s="278">
        <f t="shared" si="45"/>
        <v>0.2350976781967041</v>
      </c>
      <c r="K85" s="279"/>
      <c r="L85" s="278">
        <v>0.1841566588183764</v>
      </c>
      <c r="M85" s="278">
        <v>5.0043005780970963E-2</v>
      </c>
      <c r="N85" s="278">
        <v>2.1379642992110346E-2</v>
      </c>
      <c r="O85" s="278">
        <f t="shared" si="44"/>
        <v>0.25557930759145769</v>
      </c>
    </row>
    <row r="86" spans="1:15" s="212" customFormat="1">
      <c r="A86" s="213"/>
      <c r="B86" s="278"/>
      <c r="C86" s="278"/>
      <c r="D86" s="278"/>
      <c r="E86" s="278"/>
      <c r="F86" s="279"/>
      <c r="G86" s="278"/>
      <c r="H86" s="278"/>
      <c r="I86" s="278"/>
      <c r="J86" s="278"/>
      <c r="K86" s="279"/>
      <c r="L86" s="278"/>
      <c r="M86" s="278"/>
      <c r="N86" s="278"/>
      <c r="O86" s="278"/>
    </row>
    <row r="87" spans="1:15" s="212" customFormat="1">
      <c r="A87" s="220" t="s">
        <v>117</v>
      </c>
      <c r="B87" s="282">
        <f>SUM(B77:B85)</f>
        <v>6.1221309686785608</v>
      </c>
      <c r="C87" s="282">
        <f t="shared" ref="C87:E87" si="46">SUM(C77:C85)</f>
        <v>0.45221662527431283</v>
      </c>
      <c r="D87" s="282">
        <f t="shared" si="46"/>
        <v>0.38565240604713241</v>
      </c>
      <c r="E87" s="282">
        <f t="shared" si="46"/>
        <v>6.9600000000000053</v>
      </c>
      <c r="F87" s="282"/>
      <c r="G87" s="282">
        <f t="shared" ref="G87:J87" si="47">SUM(G77:G85)</f>
        <v>6.5780984337585178</v>
      </c>
      <c r="H87" s="282">
        <f t="shared" si="47"/>
        <v>0.53149276190211969</v>
      </c>
      <c r="I87" s="282">
        <f t="shared" si="47"/>
        <v>0.30540880433934958</v>
      </c>
      <c r="J87" s="282">
        <f t="shared" si="47"/>
        <v>7.4149999999999885</v>
      </c>
      <c r="K87" s="282"/>
      <c r="L87" s="282">
        <f t="shared" ref="L87:O87" si="48">SUM(L77:L85)</f>
        <v>6.2550769248166818</v>
      </c>
      <c r="M87" s="282">
        <f t="shared" si="48"/>
        <v>0.52575794566175127</v>
      </c>
      <c r="N87" s="282">
        <f t="shared" si="48"/>
        <v>0.31016512952156439</v>
      </c>
      <c r="O87" s="282">
        <f t="shared" si="48"/>
        <v>7.0909999999999975</v>
      </c>
    </row>
    <row r="88" spans="1:15" s="212" customFormat="1">
      <c r="A88" s="213"/>
      <c r="B88" s="213"/>
      <c r="C88" s="213"/>
      <c r="D88" s="213"/>
      <c r="E88" s="213"/>
      <c r="F88" s="213"/>
      <c r="G88" s="213"/>
      <c r="H88" s="213"/>
      <c r="I88" s="213"/>
      <c r="J88" s="213"/>
      <c r="K88" s="213"/>
      <c r="L88" s="213"/>
      <c r="M88" s="213"/>
      <c r="N88" s="216"/>
    </row>
    <row r="89" spans="1:15" s="212" customFormat="1">
      <c r="A89" s="213"/>
      <c r="B89" s="213"/>
      <c r="C89" s="213"/>
      <c r="D89" s="213"/>
      <c r="E89" s="213"/>
      <c r="F89" s="213"/>
      <c r="G89" s="213"/>
      <c r="H89" s="213"/>
      <c r="I89" s="213"/>
      <c r="J89" s="213"/>
      <c r="K89" s="213"/>
      <c r="L89" s="213"/>
      <c r="M89" s="213"/>
      <c r="N89" s="216"/>
      <c r="O89" s="227" t="s">
        <v>112</v>
      </c>
    </row>
    <row r="90" spans="1:15" s="212" customFormat="1">
      <c r="A90" s="218"/>
      <c r="B90" s="218"/>
      <c r="C90" s="218"/>
      <c r="D90" s="218"/>
      <c r="E90" s="218"/>
      <c r="F90" s="218"/>
      <c r="G90" s="218"/>
      <c r="H90" s="218"/>
      <c r="I90" s="218"/>
      <c r="J90" s="218"/>
      <c r="K90" s="218"/>
      <c r="L90" s="218"/>
      <c r="M90" s="218"/>
      <c r="N90" s="218"/>
      <c r="O90" s="218"/>
    </row>
    <row r="91" spans="1:15" s="212" customFormat="1">
      <c r="A91" s="217" t="str">
        <f>name!B8</f>
        <v>Rest of manufacturing</v>
      </c>
      <c r="B91" s="349">
        <f>$B$6</f>
        <v>2015</v>
      </c>
      <c r="C91" s="349"/>
      <c r="D91" s="349"/>
      <c r="E91" s="349"/>
      <c r="F91" s="239"/>
      <c r="G91" s="349">
        <f>$G$6</f>
        <v>2020</v>
      </c>
      <c r="H91" s="349"/>
      <c r="I91" s="349"/>
      <c r="J91" s="349"/>
      <c r="K91" s="239"/>
      <c r="L91" s="349">
        <f>$L$6</f>
        <v>2035</v>
      </c>
      <c r="M91" s="349"/>
      <c r="N91" s="349"/>
      <c r="O91" s="349"/>
    </row>
    <row r="92" spans="1:15" s="212" customFormat="1">
      <c r="A92" s="230"/>
      <c r="B92" s="244" t="str">
        <f>$B$7</f>
        <v>FT</v>
      </c>
      <c r="C92" s="244" t="str">
        <f>$C$7</f>
        <v>PT</v>
      </c>
      <c r="D92" s="244" t="str">
        <f>$D$7</f>
        <v>SE</v>
      </c>
      <c r="E92" s="244" t="str">
        <f>$E$7</f>
        <v>Total</v>
      </c>
      <c r="F92" s="244"/>
      <c r="G92" s="244" t="str">
        <f>$G$7</f>
        <v>FT</v>
      </c>
      <c r="H92" s="244" t="str">
        <f>$H$7</f>
        <v>PT</v>
      </c>
      <c r="I92" s="244" t="str">
        <f>$I$7</f>
        <v>SE</v>
      </c>
      <c r="J92" s="244" t="str">
        <f>$J$7</f>
        <v>Total</v>
      </c>
      <c r="K92" s="244"/>
      <c r="L92" s="244" t="str">
        <f>$L$7</f>
        <v>FT</v>
      </c>
      <c r="M92" s="244" t="str">
        <f>$M$7</f>
        <v>PT</v>
      </c>
      <c r="N92" s="244" t="str">
        <f>$N$7</f>
        <v>SE</v>
      </c>
      <c r="O92" s="244" t="str">
        <f>$O$7</f>
        <v>Total</v>
      </c>
    </row>
    <row r="93" spans="1:15" s="212" customFormat="1">
      <c r="A93" s="234"/>
      <c r="B93" s="215"/>
      <c r="C93" s="215"/>
      <c r="D93" s="215"/>
      <c r="E93" s="215"/>
      <c r="F93" s="215"/>
      <c r="G93" s="215"/>
      <c r="H93" s="215"/>
      <c r="I93" s="215"/>
      <c r="J93" s="215"/>
      <c r="K93" s="215"/>
      <c r="L93" s="215"/>
      <c r="M93" s="215"/>
      <c r="N93" s="215"/>
      <c r="O93" s="215"/>
    </row>
    <row r="94" spans="1:15" s="212" customFormat="1">
      <c r="A94" s="213" t="str">
        <f>name!E$4</f>
        <v>Managers, directors and senior officials</v>
      </c>
      <c r="B94" s="278">
        <v>3.7007528747037042</v>
      </c>
      <c r="C94" s="278">
        <v>0.14582930901631028</v>
      </c>
      <c r="D94" s="278">
        <v>0.75749621215520246</v>
      </c>
      <c r="E94" s="278">
        <f>SUM(B94:D94)</f>
        <v>4.6040783958752165</v>
      </c>
      <c r="F94" s="279"/>
      <c r="G94" s="278">
        <v>4.0866520226089804</v>
      </c>
      <c r="H94" s="278">
        <v>0.35201483241309012</v>
      </c>
      <c r="I94" s="278">
        <v>0.54257242145186046</v>
      </c>
      <c r="J94" s="278">
        <f>SUM(G94:I94)</f>
        <v>4.9812392764739313</v>
      </c>
      <c r="K94" s="279"/>
      <c r="L94" s="278">
        <v>3.2567106304958271</v>
      </c>
      <c r="M94" s="278">
        <v>0.29334492865221479</v>
      </c>
      <c r="N94" s="278">
        <v>0.47288252561054955</v>
      </c>
      <c r="O94" s="278">
        <f>SUM(L94:N94)</f>
        <v>4.0229380847585912</v>
      </c>
    </row>
    <row r="95" spans="1:15" s="212" customFormat="1">
      <c r="A95" s="213" t="str">
        <f>name!E$5</f>
        <v>Professional occupations</v>
      </c>
      <c r="B95" s="278">
        <v>6.1269112597558948</v>
      </c>
      <c r="C95" s="278">
        <v>0.13866970355962602</v>
      </c>
      <c r="D95" s="278">
        <v>0.40754849022931722</v>
      </c>
      <c r="E95" s="278">
        <f t="shared" ref="E95:E102" si="49">SUM(B95:D95)</f>
        <v>6.6731294535448376</v>
      </c>
      <c r="F95" s="279"/>
      <c r="G95" s="278">
        <v>7.360814455017282</v>
      </c>
      <c r="H95" s="278">
        <v>0.32840044241452959</v>
      </c>
      <c r="I95" s="278">
        <v>0.2872452141463791</v>
      </c>
      <c r="J95" s="278">
        <f t="shared" ref="J95:J97" si="50">SUM(G95:I95)</f>
        <v>7.9764601115781906</v>
      </c>
      <c r="K95" s="279"/>
      <c r="L95" s="278">
        <v>8.3953649866652267</v>
      </c>
      <c r="M95" s="278">
        <v>0.28555126116967455</v>
      </c>
      <c r="N95" s="278">
        <v>0.19583676338792785</v>
      </c>
      <c r="O95" s="278">
        <f t="shared" ref="O95:O102" si="51">SUM(L95:N95)</f>
        <v>8.8767530112228279</v>
      </c>
    </row>
    <row r="96" spans="1:15" s="212" customFormat="1">
      <c r="A96" s="213" t="str">
        <f>name!E$6</f>
        <v>Associate professional occupations</v>
      </c>
      <c r="B96" s="278">
        <v>3.8801458177797103</v>
      </c>
      <c r="C96" s="278">
        <v>0.19662627866353266</v>
      </c>
      <c r="D96" s="278">
        <v>0.3205742404371158</v>
      </c>
      <c r="E96" s="278">
        <f t="shared" si="49"/>
        <v>4.3973463368803589</v>
      </c>
      <c r="F96" s="279"/>
      <c r="G96" s="278">
        <v>4.4403105299878538</v>
      </c>
      <c r="H96" s="278">
        <v>0.39507339308069384</v>
      </c>
      <c r="I96" s="278">
        <v>0.2108600273579764</v>
      </c>
      <c r="J96" s="278">
        <f t="shared" si="50"/>
        <v>5.0462439504265246</v>
      </c>
      <c r="K96" s="279"/>
      <c r="L96" s="278">
        <v>3.840068902656316</v>
      </c>
      <c r="M96" s="278">
        <v>0.26784695467660924</v>
      </c>
      <c r="N96" s="278">
        <v>0.19459290840110019</v>
      </c>
      <c r="O96" s="278">
        <f t="shared" si="51"/>
        <v>4.3025087657340251</v>
      </c>
    </row>
    <row r="97" spans="1:15" s="212" customFormat="1">
      <c r="A97" s="213" t="str">
        <f>name!E$7</f>
        <v>Administrative and secretarial occupations</v>
      </c>
      <c r="B97" s="278">
        <v>2.9899073839071835</v>
      </c>
      <c r="C97" s="278">
        <v>0.68938383016230087</v>
      </c>
      <c r="D97" s="278">
        <v>0.10501723960584035</v>
      </c>
      <c r="E97" s="278">
        <f t="shared" si="49"/>
        <v>3.7843084536753246</v>
      </c>
      <c r="F97" s="279"/>
      <c r="G97" s="278">
        <v>3.137404021294123</v>
      </c>
      <c r="H97" s="278">
        <v>0.82931125406992801</v>
      </c>
      <c r="I97" s="278">
        <v>7.80103916409641E-2</v>
      </c>
      <c r="J97" s="278">
        <f t="shared" si="50"/>
        <v>4.0447256670050153</v>
      </c>
      <c r="K97" s="279"/>
      <c r="L97" s="278">
        <v>2.7913014442492163</v>
      </c>
      <c r="M97" s="278">
        <v>0.49262828984292267</v>
      </c>
      <c r="N97" s="278">
        <v>6.6205223747054343E-2</v>
      </c>
      <c r="O97" s="278">
        <f t="shared" si="51"/>
        <v>3.3501349578391935</v>
      </c>
    </row>
    <row r="98" spans="1:15" s="212" customFormat="1">
      <c r="A98" s="213" t="str">
        <f>name!E$8</f>
        <v>Skilled trades occupations</v>
      </c>
      <c r="B98" s="278">
        <v>15.352400106483422</v>
      </c>
      <c r="C98" s="278">
        <v>0.30889609944317864</v>
      </c>
      <c r="D98" s="278">
        <v>2.2316256497701681</v>
      </c>
      <c r="E98" s="278">
        <f t="shared" si="49"/>
        <v>17.89292185569677</v>
      </c>
      <c r="F98" s="279"/>
      <c r="G98" s="278">
        <v>11.833155677488062</v>
      </c>
      <c r="H98" s="278">
        <v>0.49326054200209957</v>
      </c>
      <c r="I98" s="278">
        <v>1.1152087738969061</v>
      </c>
      <c r="J98" s="278">
        <f>SUM(G98:I98)</f>
        <v>13.441624993387068</v>
      </c>
      <c r="K98" s="279"/>
      <c r="L98" s="278">
        <v>9.0875544322568338</v>
      </c>
      <c r="M98" s="278">
        <v>0.42579067108826352</v>
      </c>
      <c r="N98" s="278">
        <v>0.94812898578317106</v>
      </c>
      <c r="O98" s="278">
        <f t="shared" si="51"/>
        <v>10.461474089128268</v>
      </c>
    </row>
    <row r="99" spans="1:15" s="212" customFormat="1">
      <c r="A99" s="213" t="str">
        <f>name!E$9</f>
        <v>Caring, leisure and other service occupations</v>
      </c>
      <c r="B99" s="278">
        <v>0.3299016510884345</v>
      </c>
      <c r="C99" s="278">
        <v>0.10309682411330653</v>
      </c>
      <c r="D99" s="278">
        <v>7.1060772243526679E-2</v>
      </c>
      <c r="E99" s="278">
        <f t="shared" si="49"/>
        <v>0.50405924744526776</v>
      </c>
      <c r="F99" s="279"/>
      <c r="G99" s="278">
        <v>0.3536367049524361</v>
      </c>
      <c r="H99" s="278">
        <v>0.23811199257772589</v>
      </c>
      <c r="I99" s="278">
        <v>7.8956173144344929E-2</v>
      </c>
      <c r="J99" s="278">
        <f t="shared" ref="J99:J102" si="52">SUM(G99:I99)</f>
        <v>0.6707048706745069</v>
      </c>
      <c r="K99" s="279"/>
      <c r="L99" s="278">
        <v>0.29515211523584678</v>
      </c>
      <c r="M99" s="278">
        <v>0.213163545151978</v>
      </c>
      <c r="N99" s="278">
        <v>8.9683214985188095E-2</v>
      </c>
      <c r="O99" s="278">
        <f t="shared" si="51"/>
        <v>0.59799887537301277</v>
      </c>
    </row>
    <row r="100" spans="1:15" s="212" customFormat="1">
      <c r="A100" s="213" t="str">
        <f>name!E$10</f>
        <v>Sales and customer service occupations</v>
      </c>
      <c r="B100" s="278">
        <v>1.1615705856421972</v>
      </c>
      <c r="C100" s="278">
        <v>0.29076071457545155</v>
      </c>
      <c r="D100" s="278">
        <v>0.13809870061869389</v>
      </c>
      <c r="E100" s="278">
        <f t="shared" si="49"/>
        <v>1.5904300008363426</v>
      </c>
      <c r="F100" s="279"/>
      <c r="G100" s="278">
        <v>1.1710903558754429</v>
      </c>
      <c r="H100" s="278">
        <v>0.44164314836084162</v>
      </c>
      <c r="I100" s="278">
        <v>6.825509510684738E-2</v>
      </c>
      <c r="J100" s="278">
        <f t="shared" si="52"/>
        <v>1.6809885993431319</v>
      </c>
      <c r="K100" s="279"/>
      <c r="L100" s="278">
        <v>1.0870459648089292</v>
      </c>
      <c r="M100" s="278">
        <v>0.38210644592699272</v>
      </c>
      <c r="N100" s="278">
        <v>4.1704232899669888E-2</v>
      </c>
      <c r="O100" s="278">
        <f t="shared" si="51"/>
        <v>1.5108566436355919</v>
      </c>
    </row>
    <row r="101" spans="1:15" s="212" customFormat="1">
      <c r="A101" s="213" t="str">
        <f>name!E$11</f>
        <v>Process, plant and machine operatives</v>
      </c>
      <c r="B101" s="278">
        <v>11.380477052109054</v>
      </c>
      <c r="C101" s="278">
        <v>0.41543892520087961</v>
      </c>
      <c r="D101" s="278">
        <v>0.39991802406345833</v>
      </c>
      <c r="E101" s="278">
        <f t="shared" si="49"/>
        <v>12.195834001373392</v>
      </c>
      <c r="F101" s="279"/>
      <c r="G101" s="278">
        <v>8.786768167037577</v>
      </c>
      <c r="H101" s="278">
        <v>0.70922896617123454</v>
      </c>
      <c r="I101" s="278">
        <v>0.29924483430636123</v>
      </c>
      <c r="J101" s="278">
        <f t="shared" si="52"/>
        <v>9.7952419675151727</v>
      </c>
      <c r="K101" s="279"/>
      <c r="L101" s="278">
        <v>7.2557255449003817</v>
      </c>
      <c r="M101" s="278">
        <v>0.64133253893210307</v>
      </c>
      <c r="N101" s="278">
        <v>0.27648477567941676</v>
      </c>
      <c r="O101" s="278">
        <f t="shared" si="51"/>
        <v>8.1735428595119011</v>
      </c>
    </row>
    <row r="102" spans="1:15" s="212" customFormat="1">
      <c r="A102" s="213" t="str">
        <f>name!E$12</f>
        <v>Elementary occupations</v>
      </c>
      <c r="B102" s="278">
        <v>2.386147263901826</v>
      </c>
      <c r="C102" s="278">
        <v>0.35629798328502527</v>
      </c>
      <c r="D102" s="278">
        <v>0.30244700748557046</v>
      </c>
      <c r="E102" s="278">
        <f t="shared" si="49"/>
        <v>3.0448922546724217</v>
      </c>
      <c r="F102" s="279"/>
      <c r="G102" s="278">
        <v>1.8930526870966176</v>
      </c>
      <c r="H102" s="278">
        <v>0.46301961810108166</v>
      </c>
      <c r="I102" s="278">
        <v>0.17369825839877021</v>
      </c>
      <c r="J102" s="278">
        <f t="shared" si="52"/>
        <v>2.5297705635964696</v>
      </c>
      <c r="K102" s="279"/>
      <c r="L102" s="278">
        <v>1.5354190716312173</v>
      </c>
      <c r="M102" s="278">
        <v>0.60968782100478613</v>
      </c>
      <c r="N102" s="278">
        <v>0.16868582016049921</v>
      </c>
      <c r="O102" s="278">
        <f t="shared" si="51"/>
        <v>2.3137927127965026</v>
      </c>
    </row>
    <row r="103" spans="1:15" s="212" customFormat="1">
      <c r="A103" s="213"/>
      <c r="B103" s="278"/>
      <c r="C103" s="278"/>
      <c r="D103" s="278"/>
      <c r="E103" s="278"/>
      <c r="F103" s="279"/>
      <c r="G103" s="278"/>
      <c r="H103" s="278"/>
      <c r="I103" s="278"/>
      <c r="J103" s="278"/>
      <c r="K103" s="279"/>
      <c r="L103" s="278"/>
      <c r="M103" s="278"/>
      <c r="N103" s="278"/>
      <c r="O103" s="278"/>
    </row>
    <row r="104" spans="1:15" s="212" customFormat="1">
      <c r="A104" s="220" t="s">
        <v>117</v>
      </c>
      <c r="B104" s="282">
        <f>SUM(B94:B102)</f>
        <v>47.308213995371425</v>
      </c>
      <c r="C104" s="282">
        <f t="shared" ref="C104:E104" si="53">SUM(C94:C102)</f>
        <v>2.6449996680196115</v>
      </c>
      <c r="D104" s="282">
        <f t="shared" si="53"/>
        <v>4.733786336608893</v>
      </c>
      <c r="E104" s="282">
        <f t="shared" si="53"/>
        <v>54.686999999999927</v>
      </c>
      <c r="F104" s="282"/>
      <c r="G104" s="282">
        <f t="shared" ref="G104:J104" si="54">SUM(G94:G102)</f>
        <v>43.062884621358378</v>
      </c>
      <c r="H104" s="282">
        <f t="shared" si="54"/>
        <v>4.2500641891912245</v>
      </c>
      <c r="I104" s="282">
        <f t="shared" si="54"/>
        <v>2.8540511894504101</v>
      </c>
      <c r="J104" s="282">
        <f t="shared" si="54"/>
        <v>50.167000000000009</v>
      </c>
      <c r="K104" s="282"/>
      <c r="L104" s="282">
        <f t="shared" ref="L104:O104" si="55">SUM(L94:L102)</f>
        <v>37.544343092899794</v>
      </c>
      <c r="M104" s="282">
        <f t="shared" si="55"/>
        <v>3.6114524564455448</v>
      </c>
      <c r="N104" s="282">
        <f t="shared" si="55"/>
        <v>2.4542044506545766</v>
      </c>
      <c r="O104" s="282">
        <f t="shared" si="55"/>
        <v>43.609999999999921</v>
      </c>
    </row>
    <row r="105" spans="1:15" s="212" customFormat="1">
      <c r="A105" s="213"/>
      <c r="B105" s="213"/>
      <c r="C105" s="213"/>
      <c r="D105" s="213"/>
      <c r="E105" s="213"/>
      <c r="F105" s="213"/>
      <c r="G105" s="213"/>
      <c r="H105" s="213"/>
      <c r="I105" s="213"/>
      <c r="J105" s="213"/>
      <c r="K105" s="213"/>
      <c r="L105" s="213"/>
      <c r="M105" s="213"/>
      <c r="N105" s="216"/>
    </row>
    <row r="106" spans="1:15" s="212" customFormat="1">
      <c r="A106" s="213"/>
      <c r="B106" s="213"/>
      <c r="C106" s="213"/>
      <c r="D106" s="213"/>
      <c r="E106" s="213"/>
      <c r="F106" s="213"/>
      <c r="G106" s="213"/>
      <c r="H106" s="213"/>
      <c r="I106" s="213"/>
      <c r="J106" s="213"/>
      <c r="K106" s="213"/>
      <c r="L106" s="213"/>
      <c r="M106" s="213"/>
      <c r="N106" s="216"/>
      <c r="O106" s="227" t="s">
        <v>112</v>
      </c>
    </row>
    <row r="107" spans="1:15" s="212" customFormat="1">
      <c r="A107" s="218"/>
      <c r="B107" s="218"/>
      <c r="C107" s="218"/>
      <c r="D107" s="218"/>
      <c r="E107" s="218"/>
      <c r="F107" s="218"/>
      <c r="G107" s="218"/>
      <c r="H107" s="218"/>
      <c r="I107" s="218"/>
      <c r="J107" s="218"/>
      <c r="K107" s="218"/>
      <c r="L107" s="218"/>
      <c r="M107" s="218"/>
      <c r="N107" s="218"/>
      <c r="O107" s="218"/>
    </row>
    <row r="108" spans="1:15" s="212" customFormat="1">
      <c r="A108" s="217" t="str">
        <f>name!B9</f>
        <v>Electricity and gas</v>
      </c>
      <c r="B108" s="349">
        <f>$B$6</f>
        <v>2015</v>
      </c>
      <c r="C108" s="349"/>
      <c r="D108" s="349"/>
      <c r="E108" s="349"/>
      <c r="F108" s="239"/>
      <c r="G108" s="349">
        <f>$G$6</f>
        <v>2020</v>
      </c>
      <c r="H108" s="349"/>
      <c r="I108" s="349"/>
      <c r="J108" s="349"/>
      <c r="K108" s="239"/>
      <c r="L108" s="349">
        <f>$L$6</f>
        <v>2035</v>
      </c>
      <c r="M108" s="349"/>
      <c r="N108" s="349"/>
      <c r="O108" s="349"/>
    </row>
    <row r="109" spans="1:15" s="212" customFormat="1">
      <c r="A109" s="230"/>
      <c r="B109" s="244" t="str">
        <f>$B$7</f>
        <v>FT</v>
      </c>
      <c r="C109" s="244" t="str">
        <f>$C$7</f>
        <v>PT</v>
      </c>
      <c r="D109" s="244" t="str">
        <f>$D$7</f>
        <v>SE</v>
      </c>
      <c r="E109" s="244" t="str">
        <f>$E$7</f>
        <v>Total</v>
      </c>
      <c r="F109" s="244"/>
      <c r="G109" s="244" t="str">
        <f>$G$7</f>
        <v>FT</v>
      </c>
      <c r="H109" s="244" t="str">
        <f>$H$7</f>
        <v>PT</v>
      </c>
      <c r="I109" s="244" t="str">
        <f>$I$7</f>
        <v>SE</v>
      </c>
      <c r="J109" s="244" t="str">
        <f>$J$7</f>
        <v>Total</v>
      </c>
      <c r="K109" s="244"/>
      <c r="L109" s="244" t="str">
        <f>$L$7</f>
        <v>FT</v>
      </c>
      <c r="M109" s="244" t="str">
        <f>$M$7</f>
        <v>PT</v>
      </c>
      <c r="N109" s="244" t="str">
        <f>$N$7</f>
        <v>SE</v>
      </c>
      <c r="O109" s="244" t="str">
        <f>$O$7</f>
        <v>Total</v>
      </c>
    </row>
    <row r="110" spans="1:15" s="212" customFormat="1">
      <c r="A110" s="234"/>
      <c r="B110" s="215"/>
      <c r="C110" s="215"/>
      <c r="D110" s="215"/>
      <c r="E110" s="215"/>
      <c r="F110" s="215"/>
      <c r="G110" s="215"/>
      <c r="H110" s="215"/>
      <c r="I110" s="215"/>
      <c r="J110" s="215"/>
      <c r="K110" s="215"/>
      <c r="L110" s="215"/>
      <c r="M110" s="215"/>
      <c r="N110" s="215"/>
      <c r="O110" s="215"/>
    </row>
    <row r="111" spans="1:15" s="212" customFormat="1">
      <c r="A111" s="213" t="str">
        <f>name!E$4</f>
        <v>Managers, directors and senior officials</v>
      </c>
      <c r="B111" s="278">
        <v>0.45346843347445243</v>
      </c>
      <c r="C111" s="278">
        <v>1.6093454120013218E-2</v>
      </c>
      <c r="D111" s="278">
        <v>4.3205961738982925E-2</v>
      </c>
      <c r="E111" s="278">
        <f>SUM(B111:D111)</f>
        <v>0.51276784933344854</v>
      </c>
      <c r="F111" s="279"/>
      <c r="G111" s="278">
        <v>0.20128667894664695</v>
      </c>
      <c r="H111" s="278">
        <v>8.9147898654504329E-3</v>
      </c>
      <c r="I111" s="278">
        <v>0</v>
      </c>
      <c r="J111" s="278">
        <f>SUM(G111:I111)</f>
        <v>0.21020146881209739</v>
      </c>
      <c r="K111" s="279"/>
      <c r="L111" s="278">
        <v>0.17844249905047024</v>
      </c>
      <c r="M111" s="278">
        <v>8.8495549803600682E-3</v>
      </c>
      <c r="N111" s="278">
        <v>0</v>
      </c>
      <c r="O111" s="278">
        <f>SUM(L111:N111)</f>
        <v>0.18729205403083032</v>
      </c>
    </row>
    <row r="112" spans="1:15" s="212" customFormat="1">
      <c r="A112" s="213" t="str">
        <f>name!E$5</f>
        <v>Professional occupations</v>
      </c>
      <c r="B112" s="278">
        <v>1.0455269116701946</v>
      </c>
      <c r="C112" s="278">
        <v>2.0271276721820386E-2</v>
      </c>
      <c r="D112" s="278">
        <v>5.9921344187321028E-2</v>
      </c>
      <c r="E112" s="278">
        <f t="shared" ref="E112:E119" si="56">SUM(B112:D112)</f>
        <v>1.1257195325793359</v>
      </c>
      <c r="F112" s="279"/>
      <c r="G112" s="278">
        <v>0.49744705707212045</v>
      </c>
      <c r="H112" s="278">
        <v>9.9922441608148935E-3</v>
      </c>
      <c r="I112" s="278">
        <v>0</v>
      </c>
      <c r="J112" s="278">
        <f t="shared" ref="J112:J114" si="57">SUM(G112:I112)</f>
        <v>0.50743930123293535</v>
      </c>
      <c r="K112" s="279"/>
      <c r="L112" s="278">
        <v>0.58059689309759555</v>
      </c>
      <c r="M112" s="278">
        <v>1.1551196042481272E-2</v>
      </c>
      <c r="N112" s="278">
        <v>0</v>
      </c>
      <c r="O112" s="278">
        <f t="shared" ref="O112:O119" si="58">SUM(L112:N112)</f>
        <v>0.59214808914007677</v>
      </c>
    </row>
    <row r="113" spans="1:15" s="212" customFormat="1">
      <c r="A113" s="213" t="str">
        <f>name!E$6</f>
        <v>Associate professional occupations</v>
      </c>
      <c r="B113" s="278">
        <v>0.71414471107584199</v>
      </c>
      <c r="C113" s="278">
        <v>2.7421201067171927E-2</v>
      </c>
      <c r="D113" s="278">
        <v>2.3301628309347018E-2</v>
      </c>
      <c r="E113" s="278">
        <f t="shared" si="56"/>
        <v>0.76486754045236094</v>
      </c>
      <c r="F113" s="279"/>
      <c r="G113" s="278">
        <v>0.33910315037170835</v>
      </c>
      <c r="H113" s="278">
        <v>1.1794483717278578E-2</v>
      </c>
      <c r="I113" s="278">
        <v>0</v>
      </c>
      <c r="J113" s="278">
        <f t="shared" si="57"/>
        <v>0.35089763408898694</v>
      </c>
      <c r="K113" s="279"/>
      <c r="L113" s="278">
        <v>0.30600585622239285</v>
      </c>
      <c r="M113" s="278">
        <v>9.6782258379363023E-3</v>
      </c>
      <c r="N113" s="278">
        <v>0</v>
      </c>
      <c r="O113" s="278">
        <f t="shared" si="58"/>
        <v>0.31568408206032916</v>
      </c>
    </row>
    <row r="114" spans="1:15" s="212" customFormat="1">
      <c r="A114" s="213" t="str">
        <f>name!E$7</f>
        <v>Administrative and secretarial occupations</v>
      </c>
      <c r="B114" s="278">
        <v>0.51078622805850415</v>
      </c>
      <c r="C114" s="278">
        <v>0.10160725230219785</v>
      </c>
      <c r="D114" s="278">
        <v>1.4093870754497426E-2</v>
      </c>
      <c r="E114" s="278">
        <f t="shared" si="56"/>
        <v>0.62648735111519938</v>
      </c>
      <c r="F114" s="279"/>
      <c r="G114" s="278">
        <v>0.21243689554366571</v>
      </c>
      <c r="H114" s="278">
        <v>3.7707452738426329E-2</v>
      </c>
      <c r="I114" s="278">
        <v>0</v>
      </c>
      <c r="J114" s="278">
        <f t="shared" si="57"/>
        <v>0.25014434828209203</v>
      </c>
      <c r="K114" s="279"/>
      <c r="L114" s="278">
        <v>0.16642233277311111</v>
      </c>
      <c r="M114" s="278">
        <v>3.1085473269113095E-2</v>
      </c>
      <c r="N114" s="278">
        <v>0</v>
      </c>
      <c r="O114" s="278">
        <f t="shared" si="58"/>
        <v>0.1975078060422242</v>
      </c>
    </row>
    <row r="115" spans="1:15" s="212" customFormat="1">
      <c r="A115" s="213" t="str">
        <f>name!E$8</f>
        <v>Skilled trades occupations</v>
      </c>
      <c r="B115" s="278">
        <v>1.2671755735950254</v>
      </c>
      <c r="C115" s="278">
        <v>2.4409015185566985E-2</v>
      </c>
      <c r="D115" s="278">
        <v>6.2142088124975972E-2</v>
      </c>
      <c r="E115" s="278">
        <f t="shared" si="56"/>
        <v>1.3537266769055682</v>
      </c>
      <c r="F115" s="279"/>
      <c r="G115" s="278">
        <v>0.37154516655757525</v>
      </c>
      <c r="H115" s="278">
        <v>4.3929822279434308E-3</v>
      </c>
      <c r="I115" s="278">
        <v>0</v>
      </c>
      <c r="J115" s="278">
        <f>SUM(G115:I115)</f>
        <v>0.37593814878551868</v>
      </c>
      <c r="K115" s="279"/>
      <c r="L115" s="278">
        <v>0.26410421881316848</v>
      </c>
      <c r="M115" s="278">
        <v>5.7877344294372263E-3</v>
      </c>
      <c r="N115" s="278">
        <v>0</v>
      </c>
      <c r="O115" s="278">
        <f t="shared" si="58"/>
        <v>0.26989195324260573</v>
      </c>
    </row>
    <row r="116" spans="1:15" s="212" customFormat="1">
      <c r="A116" s="213" t="str">
        <f>name!E$9</f>
        <v>Caring, leisure and other service occupations</v>
      </c>
      <c r="B116" s="278">
        <v>4.0089032877971831E-2</v>
      </c>
      <c r="C116" s="278">
        <v>1.5171445038485594E-2</v>
      </c>
      <c r="D116" s="278">
        <v>2.7137865040661627E-3</v>
      </c>
      <c r="E116" s="278">
        <f t="shared" si="56"/>
        <v>5.7974264420523586E-2</v>
      </c>
      <c r="F116" s="279"/>
      <c r="G116" s="278">
        <v>1.5241425893803373E-2</v>
      </c>
      <c r="H116" s="278">
        <v>4.6374869699731753E-3</v>
      </c>
      <c r="I116" s="278">
        <v>0</v>
      </c>
      <c r="J116" s="278">
        <f t="shared" ref="J116:J119" si="59">SUM(G116:I116)</f>
        <v>1.9878912863776549E-2</v>
      </c>
      <c r="K116" s="279"/>
      <c r="L116" s="278">
        <v>1.1298830812887548E-2</v>
      </c>
      <c r="M116" s="278">
        <v>2.6375812772822262E-3</v>
      </c>
      <c r="N116" s="278">
        <v>0</v>
      </c>
      <c r="O116" s="278">
        <f t="shared" si="58"/>
        <v>1.3936412090169775E-2</v>
      </c>
    </row>
    <row r="117" spans="1:15" s="212" customFormat="1">
      <c r="A117" s="213" t="str">
        <f>name!E$10</f>
        <v>Sales and customer service occupations</v>
      </c>
      <c r="B117" s="278">
        <v>0.27529365713964027</v>
      </c>
      <c r="C117" s="278">
        <v>0.11595314380094275</v>
      </c>
      <c r="D117" s="278">
        <v>2.7516989687898018E-2</v>
      </c>
      <c r="E117" s="278">
        <f t="shared" si="56"/>
        <v>0.41876379062848101</v>
      </c>
      <c r="F117" s="279"/>
      <c r="G117" s="278">
        <v>0.11210023817415059</v>
      </c>
      <c r="H117" s="278">
        <v>4.7178015345231653E-2</v>
      </c>
      <c r="I117" s="278">
        <v>0</v>
      </c>
      <c r="J117" s="278">
        <f t="shared" si="59"/>
        <v>0.15927825351938224</v>
      </c>
      <c r="K117" s="279"/>
      <c r="L117" s="278">
        <v>0.11520073815486984</v>
      </c>
      <c r="M117" s="278">
        <v>4.4910543244908306E-2</v>
      </c>
      <c r="N117" s="278">
        <v>0</v>
      </c>
      <c r="O117" s="278">
        <f t="shared" si="58"/>
        <v>0.16011128139977815</v>
      </c>
    </row>
    <row r="118" spans="1:15" s="212" customFormat="1">
      <c r="A118" s="213" t="str">
        <f>name!E$11</f>
        <v>Process, plant and machine operatives</v>
      </c>
      <c r="B118" s="278">
        <v>0.23862138893629611</v>
      </c>
      <c r="C118" s="278">
        <v>1.017052702225902E-2</v>
      </c>
      <c r="D118" s="278">
        <v>2.9300241532950935E-2</v>
      </c>
      <c r="E118" s="278">
        <f t="shared" si="56"/>
        <v>0.27809215749150606</v>
      </c>
      <c r="F118" s="279"/>
      <c r="G118" s="278">
        <v>7.1288820952192203E-2</v>
      </c>
      <c r="H118" s="278">
        <v>3.0886758471275889E-3</v>
      </c>
      <c r="I118" s="278">
        <v>0</v>
      </c>
      <c r="J118" s="278">
        <f t="shared" si="59"/>
        <v>7.4377496799319792E-2</v>
      </c>
      <c r="K118" s="279"/>
      <c r="L118" s="278">
        <v>5.9226251461997829E-2</v>
      </c>
      <c r="M118" s="278">
        <v>2.9776126766695235E-3</v>
      </c>
      <c r="N118" s="278">
        <v>0</v>
      </c>
      <c r="O118" s="278">
        <f t="shared" si="58"/>
        <v>6.2203864138667353E-2</v>
      </c>
    </row>
    <row r="119" spans="1:15" s="212" customFormat="1">
      <c r="A119" s="213" t="str">
        <f>name!E$12</f>
        <v>Elementary occupations</v>
      </c>
      <c r="B119" s="278">
        <v>6.2262807411402513E-2</v>
      </c>
      <c r="C119" s="278">
        <v>1.3011527239328285E-2</v>
      </c>
      <c r="D119" s="278">
        <v>1.1326502422840178E-2</v>
      </c>
      <c r="E119" s="278">
        <f t="shared" si="56"/>
        <v>8.6600837073570983E-2</v>
      </c>
      <c r="F119" s="279"/>
      <c r="G119" s="278">
        <v>1.900231097697553E-2</v>
      </c>
      <c r="H119" s="278">
        <v>3.8421246389135932E-3</v>
      </c>
      <c r="I119" s="278">
        <v>0</v>
      </c>
      <c r="J119" s="278">
        <f t="shared" si="59"/>
        <v>2.2844435615889124E-2</v>
      </c>
      <c r="K119" s="279"/>
      <c r="L119" s="278">
        <v>1.382603106580226E-2</v>
      </c>
      <c r="M119" s="278">
        <v>5.3984267895191874E-3</v>
      </c>
      <c r="N119" s="278">
        <v>0</v>
      </c>
      <c r="O119" s="278">
        <f t="shared" si="58"/>
        <v>1.9224457855321446E-2</v>
      </c>
    </row>
    <row r="120" spans="1:15" s="212" customFormat="1">
      <c r="A120" s="213"/>
      <c r="B120" s="278"/>
      <c r="C120" s="278"/>
      <c r="D120" s="278"/>
      <c r="E120" s="278"/>
      <c r="F120" s="279"/>
      <c r="G120" s="278"/>
      <c r="H120" s="278"/>
      <c r="I120" s="278"/>
      <c r="J120" s="278"/>
      <c r="K120" s="279"/>
      <c r="L120" s="278"/>
      <c r="M120" s="278"/>
      <c r="N120" s="278"/>
      <c r="O120" s="278"/>
    </row>
    <row r="121" spans="1:15" s="212" customFormat="1">
      <c r="A121" s="220" t="s">
        <v>117</v>
      </c>
      <c r="B121" s="282">
        <f>SUM(B111:B119)</f>
        <v>4.6073687442393281</v>
      </c>
      <c r="C121" s="282">
        <f t="shared" ref="C121:E121" si="60">SUM(C111:C119)</f>
        <v>0.344108842497786</v>
      </c>
      <c r="D121" s="282">
        <f t="shared" si="60"/>
        <v>0.27352241326287963</v>
      </c>
      <c r="E121" s="282">
        <f t="shared" si="60"/>
        <v>5.2249999999999943</v>
      </c>
      <c r="F121" s="282"/>
      <c r="G121" s="282">
        <f t="shared" ref="G121:J121" si="61">SUM(G111:G119)</f>
        <v>1.8394517444888383</v>
      </c>
      <c r="H121" s="282">
        <f t="shared" si="61"/>
        <v>0.13154825551115967</v>
      </c>
      <c r="I121" s="282">
        <f t="shared" si="61"/>
        <v>0</v>
      </c>
      <c r="J121" s="282">
        <f t="shared" si="61"/>
        <v>1.9709999999999981</v>
      </c>
      <c r="K121" s="282"/>
      <c r="L121" s="282">
        <f t="shared" ref="L121:O121" si="62">SUM(L111:L119)</f>
        <v>1.6951236514522958</v>
      </c>
      <c r="M121" s="282">
        <f t="shared" si="62"/>
        <v>0.12287634854770721</v>
      </c>
      <c r="N121" s="282">
        <f t="shared" si="62"/>
        <v>0</v>
      </c>
      <c r="O121" s="282">
        <f t="shared" si="62"/>
        <v>1.8180000000000027</v>
      </c>
    </row>
    <row r="122" spans="1:15" s="212" customFormat="1">
      <c r="A122" s="213"/>
      <c r="B122" s="213"/>
      <c r="C122" s="213"/>
      <c r="D122" s="213"/>
      <c r="E122" s="213"/>
      <c r="F122" s="213"/>
      <c r="G122" s="213"/>
      <c r="H122" s="213"/>
      <c r="I122" s="213"/>
      <c r="J122" s="213"/>
      <c r="K122" s="213"/>
      <c r="L122" s="213"/>
      <c r="M122" s="213"/>
      <c r="N122" s="216"/>
    </row>
    <row r="123" spans="1:15" s="212" customFormat="1">
      <c r="A123" s="213"/>
      <c r="B123" s="213"/>
      <c r="C123" s="213"/>
      <c r="D123" s="213"/>
      <c r="E123" s="213"/>
      <c r="F123" s="213"/>
      <c r="G123" s="213"/>
      <c r="H123" s="213"/>
      <c r="I123" s="213"/>
      <c r="J123" s="213"/>
      <c r="K123" s="213"/>
      <c r="L123" s="213"/>
      <c r="M123" s="213"/>
      <c r="N123" s="216"/>
      <c r="O123" s="227" t="s">
        <v>112</v>
      </c>
    </row>
    <row r="124" spans="1:15" s="212" customFormat="1">
      <c r="A124" s="218"/>
      <c r="B124" s="218"/>
      <c r="C124" s="218"/>
      <c r="D124" s="218"/>
      <c r="E124" s="218"/>
      <c r="F124" s="218"/>
      <c r="G124" s="218"/>
      <c r="H124" s="218"/>
      <c r="I124" s="218"/>
      <c r="J124" s="218"/>
      <c r="K124" s="218"/>
      <c r="L124" s="218"/>
      <c r="M124" s="218"/>
      <c r="N124" s="218"/>
      <c r="O124" s="218"/>
    </row>
    <row r="125" spans="1:15" s="212" customFormat="1">
      <c r="A125" s="217" t="str">
        <f>name!B10</f>
        <v>Water and sewerage</v>
      </c>
      <c r="B125" s="349">
        <f>$B$6</f>
        <v>2015</v>
      </c>
      <c r="C125" s="349"/>
      <c r="D125" s="349"/>
      <c r="E125" s="349"/>
      <c r="F125" s="239"/>
      <c r="G125" s="349">
        <f>$G$6</f>
        <v>2020</v>
      </c>
      <c r="H125" s="349"/>
      <c r="I125" s="349"/>
      <c r="J125" s="349"/>
      <c r="K125" s="239"/>
      <c r="L125" s="349">
        <f>$L$6</f>
        <v>2035</v>
      </c>
      <c r="M125" s="349"/>
      <c r="N125" s="349"/>
      <c r="O125" s="349"/>
    </row>
    <row r="126" spans="1:15" s="212" customFormat="1">
      <c r="A126" s="230"/>
      <c r="B126" s="244" t="str">
        <f>$B$7</f>
        <v>FT</v>
      </c>
      <c r="C126" s="244" t="str">
        <f>$C$7</f>
        <v>PT</v>
      </c>
      <c r="D126" s="244" t="str">
        <f>$D$7</f>
        <v>SE</v>
      </c>
      <c r="E126" s="244" t="str">
        <f>$E$7</f>
        <v>Total</v>
      </c>
      <c r="F126" s="244"/>
      <c r="G126" s="244" t="str">
        <f>$G$7</f>
        <v>FT</v>
      </c>
      <c r="H126" s="244" t="str">
        <f>$H$7</f>
        <v>PT</v>
      </c>
      <c r="I126" s="244" t="str">
        <f>$I$7</f>
        <v>SE</v>
      </c>
      <c r="J126" s="244" t="str">
        <f>$J$7</f>
        <v>Total</v>
      </c>
      <c r="K126" s="244"/>
      <c r="L126" s="244" t="str">
        <f>$L$7</f>
        <v>FT</v>
      </c>
      <c r="M126" s="244" t="str">
        <f>$M$7</f>
        <v>PT</v>
      </c>
      <c r="N126" s="244" t="str">
        <f>$N$7</f>
        <v>SE</v>
      </c>
      <c r="O126" s="244" t="str">
        <f>$O$7</f>
        <v>Total</v>
      </c>
    </row>
    <row r="127" spans="1:15" s="212" customFormat="1">
      <c r="A127" s="234"/>
      <c r="B127" s="215"/>
      <c r="C127" s="215"/>
      <c r="D127" s="215"/>
      <c r="E127" s="215"/>
      <c r="F127" s="215"/>
      <c r="G127" s="215"/>
      <c r="H127" s="215"/>
      <c r="I127" s="215"/>
      <c r="J127" s="215"/>
      <c r="K127" s="215"/>
      <c r="L127" s="215"/>
      <c r="M127" s="215"/>
      <c r="N127" s="215"/>
      <c r="O127" s="215"/>
    </row>
    <row r="128" spans="1:15" s="212" customFormat="1">
      <c r="A128" s="213" t="str">
        <f>name!E$4</f>
        <v>Managers, directors and senior officials</v>
      </c>
      <c r="B128" s="278">
        <v>0.35276889983424564</v>
      </c>
      <c r="C128" s="278">
        <v>1.3654080930277661E-2</v>
      </c>
      <c r="D128" s="278">
        <v>4.0064642917630455E-2</v>
      </c>
      <c r="E128" s="278">
        <f>SUM(B128:D128)</f>
        <v>0.40648762368215374</v>
      </c>
      <c r="F128" s="279"/>
      <c r="G128" s="278">
        <v>0.29291136968158182</v>
      </c>
      <c r="H128" s="278">
        <v>7.3736786774920932E-2</v>
      </c>
      <c r="I128" s="278">
        <v>1.8598554533802267E-3</v>
      </c>
      <c r="J128" s="278">
        <f>SUM(G128:I128)</f>
        <v>0.36850801190988297</v>
      </c>
      <c r="K128" s="279"/>
      <c r="L128" s="278">
        <v>0.2923924602782465</v>
      </c>
      <c r="M128" s="278">
        <v>7.9517396055376E-2</v>
      </c>
      <c r="N128" s="278">
        <v>1.7968443068749065E-3</v>
      </c>
      <c r="O128" s="278">
        <f>SUM(L128:N128)</f>
        <v>0.37370670064049744</v>
      </c>
    </row>
    <row r="129" spans="1:15" s="212" customFormat="1">
      <c r="A129" s="213" t="str">
        <f>name!E$5</f>
        <v>Professional occupations</v>
      </c>
      <c r="B129" s="278">
        <v>0.36509117318246664</v>
      </c>
      <c r="C129" s="278">
        <v>3.0181565832542789E-2</v>
      </c>
      <c r="D129" s="278">
        <v>2.6122131022644112E-2</v>
      </c>
      <c r="E129" s="278">
        <f t="shared" ref="E129:E136" si="63">SUM(B129:D129)</f>
        <v>0.42139487003765352</v>
      </c>
      <c r="F129" s="279"/>
      <c r="G129" s="278">
        <v>0.33785877992726077</v>
      </c>
      <c r="H129" s="278">
        <v>7.5804004611856157E-2</v>
      </c>
      <c r="I129" s="278">
        <v>2.6845234363085629E-3</v>
      </c>
      <c r="J129" s="278">
        <f t="shared" ref="J129:J131" si="64">SUM(G129:I129)</f>
        <v>0.41634730797542546</v>
      </c>
      <c r="K129" s="279"/>
      <c r="L129" s="278">
        <v>0.41841724356848131</v>
      </c>
      <c r="M129" s="278">
        <v>8.7969687845561945E-2</v>
      </c>
      <c r="N129" s="278">
        <v>2.4443062492665222E-3</v>
      </c>
      <c r="O129" s="278">
        <f t="shared" ref="O129:O136" si="65">SUM(L129:N129)</f>
        <v>0.50883123766330973</v>
      </c>
    </row>
    <row r="130" spans="1:15" s="212" customFormat="1">
      <c r="A130" s="213" t="str">
        <f>name!E$6</f>
        <v>Associate professional occupations</v>
      </c>
      <c r="B130" s="278">
        <v>0.47716788470891597</v>
      </c>
      <c r="C130" s="278">
        <v>6.180894128871002E-2</v>
      </c>
      <c r="D130" s="278">
        <v>2.9321903208154611E-2</v>
      </c>
      <c r="E130" s="278">
        <f t="shared" si="63"/>
        <v>0.56829872920578062</v>
      </c>
      <c r="F130" s="279"/>
      <c r="G130" s="278">
        <v>0.46278781086902449</v>
      </c>
      <c r="H130" s="278">
        <v>0.13153508461496852</v>
      </c>
      <c r="I130" s="278">
        <v>2.9399426975088901E-3</v>
      </c>
      <c r="J130" s="278">
        <f t="shared" si="64"/>
        <v>0.59726283818150183</v>
      </c>
      <c r="K130" s="279"/>
      <c r="L130" s="278">
        <v>0.53965342483106404</v>
      </c>
      <c r="M130" s="278">
        <v>0.10668252006536368</v>
      </c>
      <c r="N130" s="278">
        <v>3.279148606813915E-3</v>
      </c>
      <c r="O130" s="278">
        <f t="shared" si="65"/>
        <v>0.64961509350324165</v>
      </c>
    </row>
    <row r="131" spans="1:15" s="212" customFormat="1">
      <c r="A131" s="213" t="str">
        <f>name!E$7</f>
        <v>Administrative and secretarial occupations</v>
      </c>
      <c r="B131" s="278">
        <v>0.2753760313336126</v>
      </c>
      <c r="C131" s="278">
        <v>9.3025211746468717E-2</v>
      </c>
      <c r="D131" s="278">
        <v>8.1886759855167232E-3</v>
      </c>
      <c r="E131" s="278">
        <f t="shared" si="63"/>
        <v>0.37658991906559802</v>
      </c>
      <c r="F131" s="279"/>
      <c r="G131" s="278">
        <v>0.24241271020923555</v>
      </c>
      <c r="H131" s="278">
        <v>0.23309342117726584</v>
      </c>
      <c r="I131" s="278">
        <v>7.8457759807900392E-4</v>
      </c>
      <c r="J131" s="278">
        <f t="shared" si="64"/>
        <v>0.47629070898458037</v>
      </c>
      <c r="K131" s="279"/>
      <c r="L131" s="278">
        <v>0.24553971534357849</v>
      </c>
      <c r="M131" s="278">
        <v>0.23809786249392789</v>
      </c>
      <c r="N131" s="278">
        <v>6.2724870231659687E-4</v>
      </c>
      <c r="O131" s="278">
        <f t="shared" si="65"/>
        <v>0.484264826539823</v>
      </c>
    </row>
    <row r="132" spans="1:15" s="212" customFormat="1">
      <c r="A132" s="213" t="str">
        <f>name!E$8</f>
        <v>Skilled trades occupations</v>
      </c>
      <c r="B132" s="278">
        <v>0.41161179026552075</v>
      </c>
      <c r="C132" s="278">
        <v>1.4972661707314091E-2</v>
      </c>
      <c r="D132" s="278">
        <v>7.3873869811652199E-2</v>
      </c>
      <c r="E132" s="278">
        <f t="shared" si="63"/>
        <v>0.50045832178448701</v>
      </c>
      <c r="F132" s="279"/>
      <c r="G132" s="278">
        <v>0.25985061754196981</v>
      </c>
      <c r="H132" s="278">
        <v>0.11254773644558787</v>
      </c>
      <c r="I132" s="278">
        <v>3.8107439573771278E-3</v>
      </c>
      <c r="J132" s="278">
        <f>SUM(G132:I132)</f>
        <v>0.37620909794493479</v>
      </c>
      <c r="K132" s="279"/>
      <c r="L132" s="278">
        <v>0.24317391376846276</v>
      </c>
      <c r="M132" s="278">
        <v>0.16294453238401027</v>
      </c>
      <c r="N132" s="278">
        <v>3.3207712974657024E-3</v>
      </c>
      <c r="O132" s="278">
        <f t="shared" si="65"/>
        <v>0.40943921744993877</v>
      </c>
    </row>
    <row r="133" spans="1:15" s="212" customFormat="1">
      <c r="A133" s="213" t="str">
        <f>name!E$9</f>
        <v>Caring, leisure and other service occupations</v>
      </c>
      <c r="B133" s="278">
        <v>8.2416321686391403E-2</v>
      </c>
      <c r="C133" s="278">
        <v>1.0522671301083425E-2</v>
      </c>
      <c r="D133" s="278">
        <v>1.4897681983066791E-2</v>
      </c>
      <c r="E133" s="278">
        <f t="shared" si="63"/>
        <v>0.10783667497054161</v>
      </c>
      <c r="F133" s="279"/>
      <c r="G133" s="278">
        <v>7.4988869330967406E-2</v>
      </c>
      <c r="H133" s="278">
        <v>1.9874125722830614E-2</v>
      </c>
      <c r="I133" s="278">
        <v>1.4418460979310581E-3</v>
      </c>
      <c r="J133" s="278">
        <f t="shared" ref="J133:J136" si="66">SUM(G133:I133)</f>
        <v>9.630484115172909E-2</v>
      </c>
      <c r="K133" s="279"/>
      <c r="L133" s="278">
        <v>9.7880264417875881E-2</v>
      </c>
      <c r="M133" s="278">
        <v>1.4816556428525911E-2</v>
      </c>
      <c r="N133" s="278">
        <v>1.5614690400486716E-3</v>
      </c>
      <c r="O133" s="278">
        <f t="shared" si="65"/>
        <v>0.11425828988645045</v>
      </c>
    </row>
    <row r="134" spans="1:15" s="212" customFormat="1">
      <c r="A134" s="213" t="str">
        <f>name!E$10</f>
        <v>Sales and customer service occupations</v>
      </c>
      <c r="B134" s="278">
        <v>0.10367336329064827</v>
      </c>
      <c r="C134" s="278">
        <v>3.4779742423577654E-2</v>
      </c>
      <c r="D134" s="278">
        <v>1.1518307024203114E-2</v>
      </c>
      <c r="E134" s="278">
        <f t="shared" si="63"/>
        <v>0.14997141273842904</v>
      </c>
      <c r="F134" s="279"/>
      <c r="G134" s="278">
        <v>8.3682327052265387E-2</v>
      </c>
      <c r="H134" s="278">
        <v>0.11876500929707907</v>
      </c>
      <c r="I134" s="278">
        <v>4.2870443902762916E-4</v>
      </c>
      <c r="J134" s="278">
        <f t="shared" si="66"/>
        <v>0.2028760407883721</v>
      </c>
      <c r="K134" s="279"/>
      <c r="L134" s="278">
        <v>0.10420744325378291</v>
      </c>
      <c r="M134" s="278">
        <v>9.0225907673984654E-2</v>
      </c>
      <c r="N134" s="278">
        <v>2.5505772819145255E-4</v>
      </c>
      <c r="O134" s="278">
        <f t="shared" si="65"/>
        <v>0.19468840865595902</v>
      </c>
    </row>
    <row r="135" spans="1:15" s="212" customFormat="1">
      <c r="A135" s="213" t="str">
        <f>name!E$11</f>
        <v>Process, plant and machine operatives</v>
      </c>
      <c r="B135" s="278">
        <v>0.99211218997173478</v>
      </c>
      <c r="C135" s="278">
        <v>1.5277507642856103E-2</v>
      </c>
      <c r="D135" s="278">
        <v>1.1785161092317529E-2</v>
      </c>
      <c r="E135" s="278">
        <f t="shared" si="63"/>
        <v>1.0191748587069083</v>
      </c>
      <c r="F135" s="279"/>
      <c r="G135" s="278">
        <v>0.59678907580333262</v>
      </c>
      <c r="H135" s="278">
        <v>0.15462655461418517</v>
      </c>
      <c r="I135" s="278">
        <v>6.5522522303903608E-4</v>
      </c>
      <c r="J135" s="278">
        <f t="shared" si="66"/>
        <v>0.75207085564055687</v>
      </c>
      <c r="K135" s="279"/>
      <c r="L135" s="278">
        <v>0.62221022113763114</v>
      </c>
      <c r="M135" s="278">
        <v>0.18661709563327669</v>
      </c>
      <c r="N135" s="278">
        <v>3.2159979914106934E-4</v>
      </c>
      <c r="O135" s="278">
        <f t="shared" si="65"/>
        <v>0.80914891657004884</v>
      </c>
    </row>
    <row r="136" spans="1:15" s="212" customFormat="1">
      <c r="A136" s="213" t="str">
        <f>name!E$12</f>
        <v>Elementary occupations</v>
      </c>
      <c r="B136" s="278">
        <v>0.69739579604675128</v>
      </c>
      <c r="C136" s="278">
        <v>6.1915845647030197E-2</v>
      </c>
      <c r="D136" s="278">
        <v>2.2475948114652328E-2</v>
      </c>
      <c r="E136" s="278">
        <f t="shared" si="63"/>
        <v>0.78178758980843388</v>
      </c>
      <c r="F136" s="279"/>
      <c r="G136" s="278">
        <v>0.41108765508559653</v>
      </c>
      <c r="H136" s="278">
        <v>0.10475753580377352</v>
      </c>
      <c r="I136" s="278">
        <v>1.2851065336433058E-3</v>
      </c>
      <c r="J136" s="278">
        <f t="shared" si="66"/>
        <v>0.51713029742301342</v>
      </c>
      <c r="K136" s="279"/>
      <c r="L136" s="278">
        <v>0.37527487213525756</v>
      </c>
      <c r="M136" s="278">
        <v>0.12630278933395525</v>
      </c>
      <c r="N136" s="278">
        <v>2.4696476215114675E-3</v>
      </c>
      <c r="O136" s="278">
        <f t="shared" si="65"/>
        <v>0.50404730909072426</v>
      </c>
    </row>
    <row r="137" spans="1:15" s="212" customFormat="1">
      <c r="A137" s="213"/>
      <c r="B137" s="278"/>
      <c r="C137" s="278"/>
      <c r="D137" s="278"/>
      <c r="E137" s="278"/>
      <c r="F137" s="279"/>
      <c r="G137" s="278"/>
      <c r="H137" s="278"/>
      <c r="I137" s="278"/>
      <c r="J137" s="278"/>
      <c r="K137" s="279"/>
      <c r="L137" s="278"/>
      <c r="M137" s="278"/>
      <c r="N137" s="278"/>
      <c r="O137" s="278"/>
    </row>
    <row r="138" spans="1:15" s="212" customFormat="1">
      <c r="A138" s="220" t="s">
        <v>117</v>
      </c>
      <c r="B138" s="282">
        <f>SUM(B128:B136)</f>
        <v>3.7576134503202874</v>
      </c>
      <c r="C138" s="282">
        <f t="shared" ref="C138:E138" si="67">SUM(C128:C136)</f>
        <v>0.33613822851986069</v>
      </c>
      <c r="D138" s="282">
        <f t="shared" si="67"/>
        <v>0.23824832115983788</v>
      </c>
      <c r="E138" s="282">
        <f t="shared" si="67"/>
        <v>4.3319999999999856</v>
      </c>
      <c r="F138" s="282"/>
      <c r="G138" s="282">
        <f t="shared" ref="G138:J138" si="68">SUM(G128:G136)</f>
        <v>2.7623692155012347</v>
      </c>
      <c r="H138" s="282">
        <f t="shared" si="68"/>
        <v>1.0247402590624679</v>
      </c>
      <c r="I138" s="282">
        <f t="shared" si="68"/>
        <v>1.589052543629484E-2</v>
      </c>
      <c r="J138" s="282">
        <f t="shared" si="68"/>
        <v>3.8029999999999964</v>
      </c>
      <c r="K138" s="282"/>
      <c r="L138" s="282">
        <f t="shared" ref="L138:O138" si="69">SUM(L128:L136)</f>
        <v>2.9387495587343806</v>
      </c>
      <c r="M138" s="282">
        <f t="shared" si="69"/>
        <v>1.0931743479139824</v>
      </c>
      <c r="N138" s="282">
        <f t="shared" si="69"/>
        <v>1.6076093351630308E-2</v>
      </c>
      <c r="O138" s="282">
        <f t="shared" si="69"/>
        <v>4.0479999999999929</v>
      </c>
    </row>
    <row r="139" spans="1:15" s="212" customFormat="1">
      <c r="A139" s="213"/>
      <c r="B139" s="213"/>
      <c r="C139" s="213"/>
      <c r="D139" s="213"/>
      <c r="E139" s="213"/>
      <c r="F139" s="213"/>
      <c r="G139" s="213"/>
      <c r="H139" s="213"/>
      <c r="I139" s="213"/>
      <c r="J139" s="213"/>
      <c r="K139" s="213"/>
      <c r="L139" s="213"/>
      <c r="M139" s="213"/>
      <c r="N139" s="216"/>
    </row>
    <row r="140" spans="1:15" s="212" customFormat="1">
      <c r="A140" s="213"/>
      <c r="B140" s="213"/>
      <c r="C140" s="213"/>
      <c r="D140" s="213"/>
      <c r="E140" s="213"/>
      <c r="F140" s="213"/>
      <c r="G140" s="213"/>
      <c r="H140" s="213"/>
      <c r="I140" s="213"/>
      <c r="J140" s="213"/>
      <c r="K140" s="213"/>
      <c r="L140" s="213"/>
      <c r="M140" s="213"/>
      <c r="N140" s="216"/>
      <c r="O140" s="227" t="s">
        <v>112</v>
      </c>
    </row>
    <row r="141" spans="1:15" s="212" customFormat="1">
      <c r="A141" s="218"/>
      <c r="B141" s="218"/>
      <c r="C141" s="218"/>
      <c r="D141" s="218"/>
      <c r="E141" s="218"/>
      <c r="F141" s="218"/>
      <c r="G141" s="218"/>
      <c r="H141" s="218"/>
      <c r="I141" s="218"/>
      <c r="J141" s="218"/>
      <c r="K141" s="218"/>
      <c r="L141" s="218"/>
      <c r="M141" s="218"/>
      <c r="N141" s="218"/>
      <c r="O141" s="218"/>
    </row>
    <row r="142" spans="1:15" s="212" customFormat="1">
      <c r="A142" s="217" t="str">
        <f>name!B11</f>
        <v>Construction</v>
      </c>
      <c r="B142" s="349">
        <f>$B$6</f>
        <v>2015</v>
      </c>
      <c r="C142" s="349"/>
      <c r="D142" s="349"/>
      <c r="E142" s="349"/>
      <c r="F142" s="239"/>
      <c r="G142" s="349">
        <f>$G$6</f>
        <v>2020</v>
      </c>
      <c r="H142" s="349"/>
      <c r="I142" s="349"/>
      <c r="J142" s="349"/>
      <c r="K142" s="239"/>
      <c r="L142" s="349">
        <f>$L$6</f>
        <v>2035</v>
      </c>
      <c r="M142" s="349"/>
      <c r="N142" s="349"/>
      <c r="O142" s="349"/>
    </row>
    <row r="143" spans="1:15" s="212" customFormat="1">
      <c r="A143" s="230"/>
      <c r="B143" s="244" t="str">
        <f>$B$7</f>
        <v>FT</v>
      </c>
      <c r="C143" s="244" t="str">
        <f>$C$7</f>
        <v>PT</v>
      </c>
      <c r="D143" s="244" t="str">
        <f>$D$7</f>
        <v>SE</v>
      </c>
      <c r="E143" s="244" t="str">
        <f>$E$7</f>
        <v>Total</v>
      </c>
      <c r="F143" s="244"/>
      <c r="G143" s="244" t="str">
        <f>$G$7</f>
        <v>FT</v>
      </c>
      <c r="H143" s="244" t="str">
        <f>$H$7</f>
        <v>PT</v>
      </c>
      <c r="I143" s="244" t="str">
        <f>$I$7</f>
        <v>SE</v>
      </c>
      <c r="J143" s="244" t="str">
        <f>$J$7</f>
        <v>Total</v>
      </c>
      <c r="K143" s="244"/>
      <c r="L143" s="244" t="str">
        <f>$L$7</f>
        <v>FT</v>
      </c>
      <c r="M143" s="244" t="str">
        <f>$M$7</f>
        <v>PT</v>
      </c>
      <c r="N143" s="244" t="str">
        <f>$N$7</f>
        <v>SE</v>
      </c>
      <c r="O143" s="244" t="str">
        <f>$O$7</f>
        <v>Total</v>
      </c>
    </row>
    <row r="144" spans="1:15" s="212" customFormat="1">
      <c r="A144" s="234"/>
      <c r="B144" s="215"/>
      <c r="C144" s="215"/>
      <c r="D144" s="215"/>
      <c r="E144" s="215"/>
      <c r="F144" s="215"/>
      <c r="G144" s="215"/>
      <c r="H144" s="215"/>
      <c r="I144" s="215"/>
      <c r="J144" s="215"/>
      <c r="K144" s="215"/>
      <c r="L144" s="215"/>
      <c r="M144" s="215"/>
      <c r="N144" s="215"/>
      <c r="O144" s="215"/>
    </row>
    <row r="145" spans="1:15" s="212" customFormat="1">
      <c r="A145" s="213" t="str">
        <f>name!E$4</f>
        <v>Managers, directors and senior officials</v>
      </c>
      <c r="B145" s="278">
        <v>1.4930937127127126</v>
      </c>
      <c r="C145" s="278">
        <v>0.20345596126372301</v>
      </c>
      <c r="D145" s="278">
        <v>0.53221903289365924</v>
      </c>
      <c r="E145" s="278">
        <f>SUM(B145:D145)</f>
        <v>2.228768706870095</v>
      </c>
      <c r="F145" s="279"/>
      <c r="G145" s="278">
        <v>1.7208104167084197</v>
      </c>
      <c r="H145" s="278">
        <v>0.29368053999383087</v>
      </c>
      <c r="I145" s="278">
        <v>1.3441040944335945</v>
      </c>
      <c r="J145" s="278">
        <f>SUM(G145:I145)</f>
        <v>3.3585950511358451</v>
      </c>
      <c r="K145" s="279"/>
      <c r="L145" s="278">
        <v>1.6566108271919484</v>
      </c>
      <c r="M145" s="278">
        <v>0.32118568086494859</v>
      </c>
      <c r="N145" s="278">
        <v>1.4379624131433661</v>
      </c>
      <c r="O145" s="278">
        <f>SUM(L145:N145)</f>
        <v>3.415758921200263</v>
      </c>
    </row>
    <row r="146" spans="1:15" s="212" customFormat="1">
      <c r="A146" s="213" t="str">
        <f>name!E$5</f>
        <v>Professional occupations</v>
      </c>
      <c r="B146" s="278">
        <v>2.6253785973371486</v>
      </c>
      <c r="C146" s="278">
        <v>0.14214412097355045</v>
      </c>
      <c r="D146" s="278">
        <v>0.38233204531891857</v>
      </c>
      <c r="E146" s="278">
        <f t="shared" ref="E146:E153" si="70">SUM(B146:D146)</f>
        <v>3.1498547636296177</v>
      </c>
      <c r="F146" s="279"/>
      <c r="G146" s="278">
        <v>3.3008320197639267</v>
      </c>
      <c r="H146" s="278">
        <v>0.17601499367367415</v>
      </c>
      <c r="I146" s="278">
        <v>0.90497371262690152</v>
      </c>
      <c r="J146" s="278">
        <f t="shared" ref="J146:J148" si="71">SUM(G146:I146)</f>
        <v>4.3818207260645021</v>
      </c>
      <c r="K146" s="279"/>
      <c r="L146" s="278">
        <v>4.4954704542312314</v>
      </c>
      <c r="M146" s="278">
        <v>0.20865337794591707</v>
      </c>
      <c r="N146" s="278">
        <v>0.73480672955160531</v>
      </c>
      <c r="O146" s="278">
        <f t="shared" ref="O146:O153" si="72">SUM(L146:N146)</f>
        <v>5.4389305617287542</v>
      </c>
    </row>
    <row r="147" spans="1:15" s="212" customFormat="1">
      <c r="A147" s="213" t="str">
        <f>name!E$6</f>
        <v>Associate professional occupations</v>
      </c>
      <c r="B147" s="278">
        <v>1.2810413251794557</v>
      </c>
      <c r="C147" s="278">
        <v>0.19246993459239373</v>
      </c>
      <c r="D147" s="278">
        <v>0.13761913172150378</v>
      </c>
      <c r="E147" s="278">
        <f t="shared" si="70"/>
        <v>1.6111303914933532</v>
      </c>
      <c r="F147" s="279"/>
      <c r="G147" s="278">
        <v>1.5557220483772085</v>
      </c>
      <c r="H147" s="278">
        <v>0.21938072571716696</v>
      </c>
      <c r="I147" s="278">
        <v>0.25530681134059041</v>
      </c>
      <c r="J147" s="278">
        <f t="shared" si="71"/>
        <v>2.030409585434966</v>
      </c>
      <c r="K147" s="279"/>
      <c r="L147" s="278">
        <v>1.6768458469411371</v>
      </c>
      <c r="M147" s="278">
        <v>0.20804198182670486</v>
      </c>
      <c r="N147" s="278">
        <v>0.2749137830422434</v>
      </c>
      <c r="O147" s="278">
        <f t="shared" si="72"/>
        <v>2.1598016118100851</v>
      </c>
    </row>
    <row r="148" spans="1:15" s="212" customFormat="1">
      <c r="A148" s="213" t="str">
        <f>name!E$7</f>
        <v>Administrative and secretarial occupations</v>
      </c>
      <c r="B148" s="278">
        <v>1.5801616871682624</v>
      </c>
      <c r="C148" s="278">
        <v>1.0939156184362333</v>
      </c>
      <c r="D148" s="278">
        <v>0.30169517959235748</v>
      </c>
      <c r="E148" s="278">
        <f t="shared" si="70"/>
        <v>2.9757724851968534</v>
      </c>
      <c r="F148" s="279"/>
      <c r="G148" s="278">
        <v>1.6205680960562663</v>
      </c>
      <c r="H148" s="278">
        <v>0.9808437719233235</v>
      </c>
      <c r="I148" s="278">
        <v>0.29960200092020633</v>
      </c>
      <c r="J148" s="278">
        <f t="shared" si="71"/>
        <v>2.901013868899796</v>
      </c>
      <c r="K148" s="279"/>
      <c r="L148" s="278">
        <v>1.4779317699629064</v>
      </c>
      <c r="M148" s="278">
        <v>0.99221870296724257</v>
      </c>
      <c r="N148" s="278">
        <v>0.22549633680123718</v>
      </c>
      <c r="O148" s="278">
        <f t="shared" si="72"/>
        <v>2.6956468097313864</v>
      </c>
    </row>
    <row r="149" spans="1:15" s="212" customFormat="1">
      <c r="A149" s="213" t="str">
        <f>name!E$8</f>
        <v>Skilled trades occupations</v>
      </c>
      <c r="B149" s="278">
        <v>8.4916912934519857</v>
      </c>
      <c r="C149" s="278">
        <v>0.46880469354202853</v>
      </c>
      <c r="D149" s="278">
        <v>7.1768822983612743</v>
      </c>
      <c r="E149" s="278">
        <f t="shared" si="70"/>
        <v>16.13737828535529</v>
      </c>
      <c r="F149" s="279"/>
      <c r="G149" s="278">
        <v>6.5698551698746286</v>
      </c>
      <c r="H149" s="278">
        <v>0.23215470730141938</v>
      </c>
      <c r="I149" s="278">
        <v>11.708621563699152</v>
      </c>
      <c r="J149" s="278">
        <f>SUM(G149:I149)</f>
        <v>18.510631440875201</v>
      </c>
      <c r="K149" s="279"/>
      <c r="L149" s="278">
        <v>5.0494942228827409</v>
      </c>
      <c r="M149" s="278">
        <v>0.32588335806054158</v>
      </c>
      <c r="N149" s="278">
        <v>11.638575895008159</v>
      </c>
      <c r="O149" s="278">
        <f t="shared" si="72"/>
        <v>17.013953475951443</v>
      </c>
    </row>
    <row r="150" spans="1:15" s="212" customFormat="1">
      <c r="A150" s="213" t="str">
        <f>name!E$9</f>
        <v>Caring, leisure and other service occupations</v>
      </c>
      <c r="B150" s="278">
        <v>4.5106815829444952E-2</v>
      </c>
      <c r="C150" s="278">
        <v>2.4910240344349275E-2</v>
      </c>
      <c r="D150" s="278">
        <v>1.1241763804422355E-2</v>
      </c>
      <c r="E150" s="278">
        <f t="shared" si="70"/>
        <v>8.1258819978216573E-2</v>
      </c>
      <c r="F150" s="279"/>
      <c r="G150" s="278">
        <v>4.7375726822376368E-2</v>
      </c>
      <c r="H150" s="278">
        <v>2.1108821555838545E-2</v>
      </c>
      <c r="I150" s="278">
        <v>1.5491377238898348E-2</v>
      </c>
      <c r="J150" s="278">
        <f t="shared" ref="J150:J153" si="73">SUM(G150:I150)</f>
        <v>8.3975925617113256E-2</v>
      </c>
      <c r="K150" s="279"/>
      <c r="L150" s="278">
        <v>4.3377140109043644E-2</v>
      </c>
      <c r="M150" s="278">
        <v>1.7216698415121766E-2</v>
      </c>
      <c r="N150" s="278">
        <v>2.2573861662153791E-2</v>
      </c>
      <c r="O150" s="278">
        <f t="shared" si="72"/>
        <v>8.3167700186319193E-2</v>
      </c>
    </row>
    <row r="151" spans="1:15" s="212" customFormat="1">
      <c r="A151" s="213" t="str">
        <f>name!E$10</f>
        <v>Sales and customer service occupations</v>
      </c>
      <c r="B151" s="278">
        <v>0.36920438009815698</v>
      </c>
      <c r="C151" s="278">
        <v>0.23585485336193246</v>
      </c>
      <c r="D151" s="278">
        <v>6.5919860577852138E-2</v>
      </c>
      <c r="E151" s="278">
        <f t="shared" si="70"/>
        <v>0.67097909403794165</v>
      </c>
      <c r="F151" s="279"/>
      <c r="G151" s="278">
        <v>0.36874885131132745</v>
      </c>
      <c r="H151" s="278">
        <v>0.22499628407963854</v>
      </c>
      <c r="I151" s="278">
        <v>0.10397724741876782</v>
      </c>
      <c r="J151" s="278">
        <f t="shared" si="73"/>
        <v>0.69772238280973375</v>
      </c>
      <c r="K151" s="279"/>
      <c r="L151" s="278">
        <v>0.38036558000713633</v>
      </c>
      <c r="M151" s="278">
        <v>0.24126125047487346</v>
      </c>
      <c r="N151" s="278">
        <v>0.11357816094377637</v>
      </c>
      <c r="O151" s="278">
        <f t="shared" si="72"/>
        <v>0.73520499142578621</v>
      </c>
    </row>
    <row r="152" spans="1:15" s="212" customFormat="1">
      <c r="A152" s="213" t="str">
        <f>name!E$11</f>
        <v>Process, plant and machine operatives</v>
      </c>
      <c r="B152" s="278">
        <v>2.0229052492396784</v>
      </c>
      <c r="C152" s="278">
        <v>0.10312066688290816</v>
      </c>
      <c r="D152" s="278">
        <v>0.48597263782407241</v>
      </c>
      <c r="E152" s="278">
        <f t="shared" si="70"/>
        <v>2.611998553946659</v>
      </c>
      <c r="F152" s="279"/>
      <c r="G152" s="278">
        <v>1.5789809584996426</v>
      </c>
      <c r="H152" s="278">
        <v>8.9253946099223699E-2</v>
      </c>
      <c r="I152" s="278">
        <v>1.0879829394702596</v>
      </c>
      <c r="J152" s="278">
        <f t="shared" si="73"/>
        <v>2.7562178440691261</v>
      </c>
      <c r="K152" s="279"/>
      <c r="L152" s="278">
        <v>1.3891924236442319</v>
      </c>
      <c r="M152" s="278">
        <v>8.4388629129360418E-2</v>
      </c>
      <c r="N152" s="278">
        <v>1.6048724904787073</v>
      </c>
      <c r="O152" s="278">
        <f t="shared" si="72"/>
        <v>3.0784535432522997</v>
      </c>
    </row>
    <row r="153" spans="1:15" s="212" customFormat="1">
      <c r="A153" s="213" t="str">
        <f>name!E$12</f>
        <v>Elementary occupations</v>
      </c>
      <c r="B153" s="278">
        <v>1.0877920901369798</v>
      </c>
      <c r="C153" s="278">
        <v>0.58140394459422184</v>
      </c>
      <c r="D153" s="278">
        <v>0.62666286476074895</v>
      </c>
      <c r="E153" s="278">
        <f t="shared" si="70"/>
        <v>2.2958588994919507</v>
      </c>
      <c r="F153" s="279"/>
      <c r="G153" s="278">
        <v>0.82133785786654423</v>
      </c>
      <c r="H153" s="278">
        <v>0.41160841324782027</v>
      </c>
      <c r="I153" s="278">
        <v>1.0616669039793134</v>
      </c>
      <c r="J153" s="278">
        <f t="shared" si="73"/>
        <v>2.2946131750936778</v>
      </c>
      <c r="K153" s="279"/>
      <c r="L153" s="278">
        <v>0.98059324904024681</v>
      </c>
      <c r="M153" s="278">
        <v>0.39140102616356209</v>
      </c>
      <c r="N153" s="278">
        <v>1.4570881095097985</v>
      </c>
      <c r="O153" s="278">
        <f t="shared" si="72"/>
        <v>2.8290823847136073</v>
      </c>
    </row>
    <row r="154" spans="1:15" s="212" customFormat="1">
      <c r="A154" s="213"/>
      <c r="B154" s="278"/>
      <c r="C154" s="278"/>
      <c r="D154" s="278"/>
      <c r="E154" s="278"/>
      <c r="F154" s="279"/>
      <c r="G154" s="278"/>
      <c r="H154" s="278"/>
      <c r="I154" s="278"/>
      <c r="J154" s="278"/>
      <c r="K154" s="279"/>
      <c r="L154" s="278"/>
      <c r="M154" s="278"/>
      <c r="N154" s="278"/>
      <c r="O154" s="278"/>
    </row>
    <row r="155" spans="1:15" s="212" customFormat="1">
      <c r="A155" s="220" t="s">
        <v>117</v>
      </c>
      <c r="B155" s="282">
        <f>SUM(B145:B153)</f>
        <v>18.996375151153824</v>
      </c>
      <c r="C155" s="282">
        <f t="shared" ref="C155:E155" si="74">SUM(C145:C153)</f>
        <v>3.0460800339913408</v>
      </c>
      <c r="D155" s="282">
        <f t="shared" si="74"/>
        <v>9.7205448148548097</v>
      </c>
      <c r="E155" s="282">
        <f t="shared" si="74"/>
        <v>31.76299999999998</v>
      </c>
      <c r="F155" s="282"/>
      <c r="G155" s="282">
        <f t="shared" ref="G155:J155" si="75">SUM(G145:G153)</f>
        <v>17.584231145280341</v>
      </c>
      <c r="H155" s="282">
        <f t="shared" si="75"/>
        <v>2.6490422035919359</v>
      </c>
      <c r="I155" s="282">
        <f t="shared" si="75"/>
        <v>16.781726651127684</v>
      </c>
      <c r="J155" s="282">
        <f t="shared" si="75"/>
        <v>37.014999999999965</v>
      </c>
      <c r="K155" s="282"/>
      <c r="L155" s="282">
        <f t="shared" ref="L155:O155" si="76">SUM(L145:L153)</f>
        <v>17.149881514010623</v>
      </c>
      <c r="M155" s="282">
        <f t="shared" si="76"/>
        <v>2.7902507058482722</v>
      </c>
      <c r="N155" s="282">
        <f t="shared" si="76"/>
        <v>17.509867780141047</v>
      </c>
      <c r="O155" s="282">
        <f t="shared" si="76"/>
        <v>37.449999999999946</v>
      </c>
    </row>
    <row r="156" spans="1:15" s="212" customFormat="1">
      <c r="A156" s="213"/>
      <c r="B156" s="213"/>
      <c r="C156" s="213"/>
      <c r="D156" s="213"/>
      <c r="E156" s="213"/>
      <c r="F156" s="213"/>
      <c r="G156" s="213"/>
      <c r="H156" s="213"/>
      <c r="I156" s="213"/>
      <c r="J156" s="213"/>
      <c r="K156" s="213"/>
      <c r="L156" s="213"/>
      <c r="M156" s="213"/>
      <c r="N156" s="216"/>
    </row>
    <row r="157" spans="1:15" s="212" customFormat="1">
      <c r="A157" s="213"/>
      <c r="B157" s="213"/>
      <c r="C157" s="213"/>
      <c r="D157" s="213"/>
      <c r="E157" s="213"/>
      <c r="F157" s="213"/>
      <c r="G157" s="213"/>
      <c r="H157" s="213"/>
      <c r="I157" s="213"/>
      <c r="J157" s="213"/>
      <c r="K157" s="213"/>
      <c r="L157" s="213"/>
      <c r="M157" s="213"/>
      <c r="N157" s="216"/>
      <c r="O157" s="227" t="s">
        <v>112</v>
      </c>
    </row>
    <row r="158" spans="1:15" s="212" customFormat="1">
      <c r="A158" s="218"/>
      <c r="B158" s="218"/>
      <c r="C158" s="218"/>
      <c r="D158" s="218"/>
      <c r="E158" s="218"/>
      <c r="F158" s="218"/>
      <c r="G158" s="218"/>
      <c r="H158" s="218"/>
      <c r="I158" s="218"/>
      <c r="J158" s="218"/>
      <c r="K158" s="218"/>
      <c r="L158" s="218"/>
      <c r="M158" s="218"/>
      <c r="N158" s="218"/>
      <c r="O158" s="218"/>
    </row>
    <row r="159" spans="1:15" s="212" customFormat="1">
      <c r="A159" s="217" t="str">
        <f>name!B12</f>
        <v>Wholesale and retail trade</v>
      </c>
      <c r="B159" s="349">
        <f>$B$6</f>
        <v>2015</v>
      </c>
      <c r="C159" s="349"/>
      <c r="D159" s="349"/>
      <c r="E159" s="349"/>
      <c r="F159" s="239"/>
      <c r="G159" s="349">
        <f>$G$6</f>
        <v>2020</v>
      </c>
      <c r="H159" s="349"/>
      <c r="I159" s="349"/>
      <c r="J159" s="349"/>
      <c r="K159" s="239"/>
      <c r="L159" s="349">
        <f>$L$6</f>
        <v>2035</v>
      </c>
      <c r="M159" s="349"/>
      <c r="N159" s="349"/>
      <c r="O159" s="349"/>
    </row>
    <row r="160" spans="1:15" s="212" customFormat="1">
      <c r="A160" s="230"/>
      <c r="B160" s="244" t="str">
        <f>$B$7</f>
        <v>FT</v>
      </c>
      <c r="C160" s="244" t="str">
        <f>$C$7</f>
        <v>PT</v>
      </c>
      <c r="D160" s="244" t="str">
        <f>$D$7</f>
        <v>SE</v>
      </c>
      <c r="E160" s="244" t="str">
        <f>$E$7</f>
        <v>Total</v>
      </c>
      <c r="F160" s="244"/>
      <c r="G160" s="244" t="str">
        <f>$G$7</f>
        <v>FT</v>
      </c>
      <c r="H160" s="244" t="str">
        <f>$H$7</f>
        <v>PT</v>
      </c>
      <c r="I160" s="244" t="str">
        <f>$I$7</f>
        <v>SE</v>
      </c>
      <c r="J160" s="244" t="str">
        <f>$J$7</f>
        <v>Total</v>
      </c>
      <c r="K160" s="244"/>
      <c r="L160" s="244" t="str">
        <f>$L$7</f>
        <v>FT</v>
      </c>
      <c r="M160" s="244" t="str">
        <f>$M$7</f>
        <v>PT</v>
      </c>
      <c r="N160" s="244" t="str">
        <f>$N$7</f>
        <v>SE</v>
      </c>
      <c r="O160" s="244" t="str">
        <f>$O$7</f>
        <v>Total</v>
      </c>
    </row>
    <row r="161" spans="1:15" s="212" customFormat="1">
      <c r="A161" s="234"/>
      <c r="B161" s="215"/>
      <c r="C161" s="215"/>
      <c r="D161" s="215"/>
      <c r="E161" s="215"/>
      <c r="F161" s="215"/>
      <c r="G161" s="215"/>
      <c r="H161" s="215"/>
      <c r="I161" s="215"/>
      <c r="J161" s="215"/>
      <c r="K161" s="215"/>
      <c r="L161" s="215"/>
      <c r="M161" s="215"/>
      <c r="N161" s="215"/>
      <c r="O161" s="215"/>
    </row>
    <row r="162" spans="1:15" s="212" customFormat="1">
      <c r="A162" s="213" t="str">
        <f>name!E$4</f>
        <v>Managers, directors and senior officials</v>
      </c>
      <c r="B162" s="278">
        <v>8.7425722422970242</v>
      </c>
      <c r="C162" s="278">
        <v>1.0098103497193562</v>
      </c>
      <c r="D162" s="278">
        <v>2.0658472161842081</v>
      </c>
      <c r="E162" s="278">
        <f>SUM(B162:D162)</f>
        <v>11.818229808200588</v>
      </c>
      <c r="F162" s="279"/>
      <c r="G162" s="278">
        <v>9.3412988370571295</v>
      </c>
      <c r="H162" s="278">
        <v>1.6685324683090761</v>
      </c>
      <c r="I162" s="278">
        <v>2.0982552371959495</v>
      </c>
      <c r="J162" s="278">
        <f>SUM(G162:I162)</f>
        <v>13.108086542562155</v>
      </c>
      <c r="K162" s="279"/>
      <c r="L162" s="278">
        <v>9.6321157619226803</v>
      </c>
      <c r="M162" s="278">
        <v>1.8705432271455078</v>
      </c>
      <c r="N162" s="278">
        <v>2.3584010330810963</v>
      </c>
      <c r="O162" s="278">
        <f>SUM(L162:N162)</f>
        <v>13.861060022149283</v>
      </c>
    </row>
    <row r="163" spans="1:15" s="212" customFormat="1">
      <c r="A163" s="213" t="str">
        <f>name!E$5</f>
        <v>Professional occupations</v>
      </c>
      <c r="B163" s="278">
        <v>5.6686978105503094</v>
      </c>
      <c r="C163" s="278">
        <v>1.5749228361908272</v>
      </c>
      <c r="D163" s="278">
        <v>0.62719805984928412</v>
      </c>
      <c r="E163" s="278">
        <f t="shared" ref="E163:E170" si="77">SUM(B163:D163)</f>
        <v>7.8708187065904216</v>
      </c>
      <c r="F163" s="279"/>
      <c r="G163" s="278">
        <v>6.8489897408456093</v>
      </c>
      <c r="H163" s="278">
        <v>2.1018719631299536</v>
      </c>
      <c r="I163" s="278">
        <v>0.47127749419579151</v>
      </c>
      <c r="J163" s="278">
        <f t="shared" ref="J163:J165" si="78">SUM(G163:I163)</f>
        <v>9.4221391981713527</v>
      </c>
      <c r="K163" s="279"/>
      <c r="L163" s="278">
        <v>9.1882905628837879</v>
      </c>
      <c r="M163" s="278">
        <v>2.2147795399846637</v>
      </c>
      <c r="N163" s="278">
        <v>0.37382559844929736</v>
      </c>
      <c r="O163" s="278">
        <f t="shared" ref="O163:O170" si="79">SUM(L163:N163)</f>
        <v>11.776895701317748</v>
      </c>
    </row>
    <row r="164" spans="1:15" s="212" customFormat="1">
      <c r="A164" s="213" t="str">
        <f>name!E$6</f>
        <v>Associate professional occupations</v>
      </c>
      <c r="B164" s="278">
        <v>5.4642217261388319</v>
      </c>
      <c r="C164" s="278">
        <v>1.4313773667508252</v>
      </c>
      <c r="D164" s="278">
        <v>0.36396156153032877</v>
      </c>
      <c r="E164" s="278">
        <f t="shared" si="77"/>
        <v>7.2595606544199862</v>
      </c>
      <c r="F164" s="279"/>
      <c r="G164" s="278">
        <v>5.9907881083136321</v>
      </c>
      <c r="H164" s="278">
        <v>1.6785309176879237</v>
      </c>
      <c r="I164" s="278">
        <v>0.29054621733537944</v>
      </c>
      <c r="J164" s="278">
        <f t="shared" si="78"/>
        <v>7.9598652433369352</v>
      </c>
      <c r="K164" s="279"/>
      <c r="L164" s="278">
        <v>6.75794692678235</v>
      </c>
      <c r="M164" s="278">
        <v>1.5407817697695672</v>
      </c>
      <c r="N164" s="278">
        <v>0.27281975907695788</v>
      </c>
      <c r="O164" s="278">
        <f t="shared" si="79"/>
        <v>8.571548455628875</v>
      </c>
    </row>
    <row r="165" spans="1:15" s="212" customFormat="1">
      <c r="A165" s="213" t="str">
        <f>name!E$7</f>
        <v>Administrative and secretarial occupations</v>
      </c>
      <c r="B165" s="278">
        <v>6.2740527675945312</v>
      </c>
      <c r="C165" s="278">
        <v>3.1389828086865608</v>
      </c>
      <c r="D165" s="278">
        <v>0.12045380204521443</v>
      </c>
      <c r="E165" s="278">
        <f t="shared" si="77"/>
        <v>9.5334893783263066</v>
      </c>
      <c r="F165" s="279"/>
      <c r="G165" s="278">
        <v>6.1928754747030474</v>
      </c>
      <c r="H165" s="278">
        <v>3.2472414716941111</v>
      </c>
      <c r="I165" s="278">
        <v>0.1500110674613962</v>
      </c>
      <c r="J165" s="278">
        <f t="shared" si="78"/>
        <v>9.5901280138585534</v>
      </c>
      <c r="K165" s="279"/>
      <c r="L165" s="278">
        <v>7.0103389274598999</v>
      </c>
      <c r="M165" s="278">
        <v>3.0198596436791512</v>
      </c>
      <c r="N165" s="278">
        <v>0.10749224212553915</v>
      </c>
      <c r="O165" s="278">
        <f t="shared" si="79"/>
        <v>10.137690813264591</v>
      </c>
    </row>
    <row r="166" spans="1:15" s="212" customFormat="1">
      <c r="A166" s="213" t="str">
        <f>name!E$8</f>
        <v>Skilled trades occupations</v>
      </c>
      <c r="B166" s="278">
        <v>6.8867721697763926</v>
      </c>
      <c r="C166" s="278">
        <v>0.9967436286079967</v>
      </c>
      <c r="D166" s="278">
        <v>1.8555136946355806</v>
      </c>
      <c r="E166" s="278">
        <f t="shared" si="77"/>
        <v>9.7390294930199701</v>
      </c>
      <c r="F166" s="279"/>
      <c r="G166" s="278">
        <v>5.7024279207883799</v>
      </c>
      <c r="H166" s="278">
        <v>0.85260149620919901</v>
      </c>
      <c r="I166" s="278">
        <v>1.1409800165128838</v>
      </c>
      <c r="J166" s="278">
        <f>SUM(G166:I166)</f>
        <v>7.6960094335104632</v>
      </c>
      <c r="K166" s="279"/>
      <c r="L166" s="278">
        <v>5.1874402529494059</v>
      </c>
      <c r="M166" s="278">
        <v>0.94054923365151555</v>
      </c>
      <c r="N166" s="278">
        <v>1.3418897918428041</v>
      </c>
      <c r="O166" s="278">
        <f t="shared" si="79"/>
        <v>7.4698792784437256</v>
      </c>
    </row>
    <row r="167" spans="1:15" s="212" customFormat="1">
      <c r="A167" s="213" t="str">
        <f>name!E$9</f>
        <v>Caring, leisure and other service occupations</v>
      </c>
      <c r="B167" s="278">
        <v>0.52075841147067892</v>
      </c>
      <c r="C167" s="278">
        <v>0.18836174240185274</v>
      </c>
      <c r="D167" s="278">
        <v>5.8878148547146895E-2</v>
      </c>
      <c r="E167" s="278">
        <f t="shared" si="77"/>
        <v>0.76799830241967859</v>
      </c>
      <c r="F167" s="279"/>
      <c r="G167" s="278">
        <v>0.51445634513609706</v>
      </c>
      <c r="H167" s="278">
        <v>0.16793515441307325</v>
      </c>
      <c r="I167" s="278">
        <v>0.10788436155214151</v>
      </c>
      <c r="J167" s="278">
        <f t="shared" ref="J167:J170" si="80">SUM(G167:I167)</f>
        <v>0.79027586110131187</v>
      </c>
      <c r="K167" s="279"/>
      <c r="L167" s="278">
        <v>0.67386896175973277</v>
      </c>
      <c r="M167" s="278">
        <v>0.1222296903579258</v>
      </c>
      <c r="N167" s="278">
        <v>0.19065711869635268</v>
      </c>
      <c r="O167" s="278">
        <f t="shared" si="79"/>
        <v>0.98675577081401122</v>
      </c>
    </row>
    <row r="168" spans="1:15" s="212" customFormat="1">
      <c r="A168" s="213" t="str">
        <f>name!E$10</f>
        <v>Sales and customer service occupations</v>
      </c>
      <c r="B168" s="278">
        <v>6.0855228007912396</v>
      </c>
      <c r="C168" s="278">
        <v>18.803861739286116</v>
      </c>
      <c r="D168" s="278">
        <v>0.95317863994826613</v>
      </c>
      <c r="E168" s="278">
        <f t="shared" si="77"/>
        <v>25.842563180025621</v>
      </c>
      <c r="F168" s="279"/>
      <c r="G168" s="278">
        <v>5.2493782295171263</v>
      </c>
      <c r="H168" s="278">
        <v>17.555226111928956</v>
      </c>
      <c r="I168" s="278">
        <v>0.59793138318368988</v>
      </c>
      <c r="J168" s="278">
        <f t="shared" si="80"/>
        <v>23.402535724629772</v>
      </c>
      <c r="K168" s="279"/>
      <c r="L168" s="278">
        <v>4.5411010755087249</v>
      </c>
      <c r="M168" s="278">
        <v>15.497544230212297</v>
      </c>
      <c r="N168" s="278">
        <v>0.41104834202974044</v>
      </c>
      <c r="O168" s="278">
        <f t="shared" si="79"/>
        <v>20.449693647750763</v>
      </c>
    </row>
    <row r="169" spans="1:15" s="212" customFormat="1">
      <c r="A169" s="213" t="str">
        <f>name!E$11</f>
        <v>Process, plant and machine operatives</v>
      </c>
      <c r="B169" s="278">
        <v>6.7765843989983754</v>
      </c>
      <c r="C169" s="278">
        <v>1.3684707270066288</v>
      </c>
      <c r="D169" s="278">
        <v>0.18017143344924835</v>
      </c>
      <c r="E169" s="278">
        <f t="shared" si="77"/>
        <v>8.3252265594542525</v>
      </c>
      <c r="F169" s="279"/>
      <c r="G169" s="278">
        <v>5.1783205844824769</v>
      </c>
      <c r="H169" s="278">
        <v>1.4074492740724749</v>
      </c>
      <c r="I169" s="278">
        <v>0.15091634407175183</v>
      </c>
      <c r="J169" s="278">
        <f t="shared" si="80"/>
        <v>6.7366862026267036</v>
      </c>
      <c r="K169" s="279"/>
      <c r="L169" s="278">
        <v>4.9018398275401047</v>
      </c>
      <c r="M169" s="278">
        <v>1.5300214077021241</v>
      </c>
      <c r="N169" s="278">
        <v>0.20179006636611124</v>
      </c>
      <c r="O169" s="278">
        <f t="shared" si="79"/>
        <v>6.6336513016083405</v>
      </c>
    </row>
    <row r="170" spans="1:15" s="212" customFormat="1">
      <c r="A170" s="213" t="str">
        <f>name!E$12</f>
        <v>Elementary occupations</v>
      </c>
      <c r="B170" s="278">
        <v>5.6830328986375847</v>
      </c>
      <c r="C170" s="278">
        <v>5.0196971405865094</v>
      </c>
      <c r="D170" s="278">
        <v>0.20635387831910293</v>
      </c>
      <c r="E170" s="278">
        <f t="shared" si="77"/>
        <v>10.909083917543196</v>
      </c>
      <c r="F170" s="279"/>
      <c r="G170" s="278">
        <v>4.174512591238372</v>
      </c>
      <c r="H170" s="278">
        <v>4.0183949383231523</v>
      </c>
      <c r="I170" s="278">
        <v>0.17536625064133488</v>
      </c>
      <c r="J170" s="278">
        <f t="shared" si="80"/>
        <v>8.3682737802028591</v>
      </c>
      <c r="K170" s="279"/>
      <c r="L170" s="278">
        <v>4.4880443507818599</v>
      </c>
      <c r="M170" s="278">
        <v>4.1732758645373718</v>
      </c>
      <c r="N170" s="278">
        <v>0.29450479370329719</v>
      </c>
      <c r="O170" s="278">
        <f t="shared" si="79"/>
        <v>8.9558250090225293</v>
      </c>
    </row>
    <row r="171" spans="1:15" s="212" customFormat="1">
      <c r="A171" s="213"/>
      <c r="B171" s="278"/>
      <c r="C171" s="278"/>
      <c r="D171" s="278"/>
      <c r="E171" s="278"/>
      <c r="F171" s="279"/>
      <c r="G171" s="278"/>
      <c r="H171" s="278"/>
      <c r="I171" s="278"/>
      <c r="J171" s="278"/>
      <c r="K171" s="279"/>
      <c r="L171" s="278"/>
      <c r="M171" s="278"/>
      <c r="N171" s="278"/>
      <c r="O171" s="278"/>
    </row>
    <row r="172" spans="1:15" s="212" customFormat="1">
      <c r="A172" s="220" t="s">
        <v>117</v>
      </c>
      <c r="B172" s="282">
        <f>SUM(B162:B170)</f>
        <v>52.10221522625497</v>
      </c>
      <c r="C172" s="282">
        <f t="shared" ref="C172:E172" si="81">SUM(C162:C170)</f>
        <v>33.532228339236674</v>
      </c>
      <c r="D172" s="282">
        <f t="shared" si="81"/>
        <v>6.4315564345083809</v>
      </c>
      <c r="E172" s="282">
        <f t="shared" si="81"/>
        <v>92.066000000000031</v>
      </c>
      <c r="F172" s="282"/>
      <c r="G172" s="282">
        <f t="shared" ref="G172:J172" si="82">SUM(G162:G170)</f>
        <v>49.193047832081874</v>
      </c>
      <c r="H172" s="282">
        <f t="shared" si="82"/>
        <v>32.697783795767926</v>
      </c>
      <c r="I172" s="282">
        <f t="shared" si="82"/>
        <v>5.1831683721503188</v>
      </c>
      <c r="J172" s="282">
        <f t="shared" si="82"/>
        <v>87.074000000000098</v>
      </c>
      <c r="K172" s="282"/>
      <c r="L172" s="282">
        <f t="shared" ref="L172:O172" si="83">SUM(L162:L170)</f>
        <v>52.380986647588557</v>
      </c>
      <c r="M172" s="282">
        <f t="shared" si="83"/>
        <v>30.909584607040124</v>
      </c>
      <c r="N172" s="282">
        <f t="shared" si="83"/>
        <v>5.5524287453711967</v>
      </c>
      <c r="O172" s="282">
        <f t="shared" si="83"/>
        <v>88.842999999999861</v>
      </c>
    </row>
    <row r="173" spans="1:15" s="212" customFormat="1">
      <c r="A173" s="213"/>
      <c r="B173" s="213"/>
      <c r="C173" s="213"/>
      <c r="D173" s="213"/>
      <c r="E173" s="213"/>
      <c r="F173" s="213"/>
      <c r="G173" s="213"/>
      <c r="H173" s="213"/>
      <c r="I173" s="213"/>
      <c r="J173" s="213"/>
      <c r="K173" s="213"/>
      <c r="L173" s="213"/>
      <c r="M173" s="213"/>
      <c r="N173" s="216"/>
    </row>
    <row r="174" spans="1:15" s="212" customFormat="1">
      <c r="A174" s="213"/>
      <c r="B174" s="213"/>
      <c r="C174" s="213"/>
      <c r="D174" s="213"/>
      <c r="E174" s="213"/>
      <c r="F174" s="213"/>
      <c r="G174" s="213"/>
      <c r="H174" s="213"/>
      <c r="I174" s="213"/>
      <c r="J174" s="213"/>
      <c r="K174" s="213"/>
      <c r="L174" s="213"/>
      <c r="M174" s="213"/>
      <c r="N174" s="216"/>
      <c r="O174" s="227" t="s">
        <v>112</v>
      </c>
    </row>
    <row r="175" spans="1:15" s="212" customFormat="1">
      <c r="A175" s="218"/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8"/>
    </row>
    <row r="176" spans="1:15" s="212" customFormat="1">
      <c r="A176" s="217" t="str">
        <f>name!B13</f>
        <v>Transport and storage</v>
      </c>
      <c r="B176" s="349">
        <f>$B$6</f>
        <v>2015</v>
      </c>
      <c r="C176" s="349"/>
      <c r="D176" s="349"/>
      <c r="E176" s="349"/>
      <c r="F176" s="239"/>
      <c r="G176" s="349">
        <f>$G$6</f>
        <v>2020</v>
      </c>
      <c r="H176" s="349"/>
      <c r="I176" s="349"/>
      <c r="J176" s="349"/>
      <c r="K176" s="239"/>
      <c r="L176" s="349">
        <f>$L$6</f>
        <v>2035</v>
      </c>
      <c r="M176" s="349"/>
      <c r="N176" s="349"/>
      <c r="O176" s="349"/>
    </row>
    <row r="177" spans="1:15" s="212" customFormat="1">
      <c r="A177" s="230"/>
      <c r="B177" s="244" t="str">
        <f>$B$7</f>
        <v>FT</v>
      </c>
      <c r="C177" s="244" t="str">
        <f>$C$7</f>
        <v>PT</v>
      </c>
      <c r="D177" s="244" t="str">
        <f>$D$7</f>
        <v>SE</v>
      </c>
      <c r="E177" s="244" t="str">
        <f>$E$7</f>
        <v>Total</v>
      </c>
      <c r="F177" s="244"/>
      <c r="G177" s="244" t="str">
        <f>$G$7</f>
        <v>FT</v>
      </c>
      <c r="H177" s="244" t="str">
        <f>$H$7</f>
        <v>PT</v>
      </c>
      <c r="I177" s="244" t="str">
        <f>$I$7</f>
        <v>SE</v>
      </c>
      <c r="J177" s="244" t="str">
        <f>$J$7</f>
        <v>Total</v>
      </c>
      <c r="K177" s="244"/>
      <c r="L177" s="244" t="str">
        <f>$L$7</f>
        <v>FT</v>
      </c>
      <c r="M177" s="244" t="str">
        <f>$M$7</f>
        <v>PT</v>
      </c>
      <c r="N177" s="244" t="str">
        <f>$N$7</f>
        <v>SE</v>
      </c>
      <c r="O177" s="244" t="str">
        <f>$O$7</f>
        <v>Total</v>
      </c>
    </row>
    <row r="178" spans="1:15" s="212" customFormat="1">
      <c r="A178" s="234"/>
      <c r="B178" s="215"/>
      <c r="C178" s="215"/>
      <c r="D178" s="215"/>
      <c r="E178" s="215"/>
      <c r="F178" s="215"/>
      <c r="G178" s="215"/>
      <c r="H178" s="215"/>
      <c r="I178" s="215"/>
      <c r="J178" s="215"/>
      <c r="K178" s="215"/>
      <c r="L178" s="215"/>
      <c r="M178" s="215"/>
      <c r="N178" s="215"/>
      <c r="O178" s="215"/>
    </row>
    <row r="179" spans="1:15" s="212" customFormat="1">
      <c r="A179" s="213" t="str">
        <f>name!E$4</f>
        <v>Managers, directors and senior officials</v>
      </c>
      <c r="B179" s="278">
        <v>1.9974470863005001</v>
      </c>
      <c r="C179" s="278">
        <v>9.8324702550229154E-2</v>
      </c>
      <c r="D179" s="278">
        <v>0.40065401157277597</v>
      </c>
      <c r="E179" s="278">
        <f>SUM(B179:D179)</f>
        <v>2.4964258004235051</v>
      </c>
      <c r="F179" s="279"/>
      <c r="G179" s="278">
        <v>2.2919152266139542</v>
      </c>
      <c r="H179" s="278">
        <v>0.28660293229275463</v>
      </c>
      <c r="I179" s="278">
        <v>0.45414051580418779</v>
      </c>
      <c r="J179" s="278">
        <f>SUM(G179:I179)</f>
        <v>3.0326586747108966</v>
      </c>
      <c r="K179" s="279"/>
      <c r="L179" s="278">
        <v>2.6100265713504105</v>
      </c>
      <c r="M179" s="278">
        <v>0.34012624538735009</v>
      </c>
      <c r="N179" s="278">
        <v>0.49970482517628134</v>
      </c>
      <c r="O179" s="278">
        <f>SUM(L179:N179)</f>
        <v>3.4498576419140421</v>
      </c>
    </row>
    <row r="180" spans="1:15" s="212" customFormat="1">
      <c r="A180" s="213" t="str">
        <f>name!E$5</f>
        <v>Professional occupations</v>
      </c>
      <c r="B180" s="278">
        <v>1.4348803915263404</v>
      </c>
      <c r="C180" s="278">
        <v>8.2767836527091909E-2</v>
      </c>
      <c r="D180" s="278">
        <v>0.13459379446626069</v>
      </c>
      <c r="E180" s="278">
        <f t="shared" ref="E180:E187" si="84">SUM(B180:D180)</f>
        <v>1.652242022519693</v>
      </c>
      <c r="F180" s="279"/>
      <c r="G180" s="278">
        <v>1.8619159214604317</v>
      </c>
      <c r="H180" s="278">
        <v>0.21571196717926427</v>
      </c>
      <c r="I180" s="278">
        <v>0.14025260396510969</v>
      </c>
      <c r="J180" s="278">
        <f t="shared" ref="J180:J182" si="85">SUM(G180:I180)</f>
        <v>2.2178804926048059</v>
      </c>
      <c r="K180" s="279"/>
      <c r="L180" s="278">
        <v>2.687787665810077</v>
      </c>
      <c r="M180" s="278">
        <v>0.33633768075896675</v>
      </c>
      <c r="N180" s="278">
        <v>0.12998602259149852</v>
      </c>
      <c r="O180" s="278">
        <f t="shared" ref="O180:O187" si="86">SUM(L180:N180)</f>
        <v>3.1541113691605425</v>
      </c>
    </row>
    <row r="181" spans="1:15" s="212" customFormat="1">
      <c r="A181" s="213" t="str">
        <f>name!E$6</f>
        <v>Associate professional occupations</v>
      </c>
      <c r="B181" s="278">
        <v>1.4328242969528946</v>
      </c>
      <c r="C181" s="278">
        <v>0.13084517903207779</v>
      </c>
      <c r="D181" s="278">
        <v>7.5415021343754024E-2</v>
      </c>
      <c r="E181" s="278">
        <f t="shared" si="84"/>
        <v>1.6390844973287264</v>
      </c>
      <c r="F181" s="279"/>
      <c r="G181" s="278">
        <v>1.6206863883377856</v>
      </c>
      <c r="H181" s="278">
        <v>0.25314796588788546</v>
      </c>
      <c r="I181" s="278">
        <v>7.8265594295294977E-2</v>
      </c>
      <c r="J181" s="278">
        <f t="shared" si="85"/>
        <v>1.952099948520966</v>
      </c>
      <c r="K181" s="279"/>
      <c r="L181" s="278">
        <v>1.7928247945125471</v>
      </c>
      <c r="M181" s="278">
        <v>0.3187360875016384</v>
      </c>
      <c r="N181" s="278">
        <v>9.1100664182530044E-2</v>
      </c>
      <c r="O181" s="278">
        <f t="shared" si="86"/>
        <v>2.2026615461967154</v>
      </c>
    </row>
    <row r="182" spans="1:15" s="212" customFormat="1">
      <c r="A182" s="213" t="str">
        <f>name!E$7</f>
        <v>Administrative and secretarial occupations</v>
      </c>
      <c r="B182" s="278">
        <v>2.4441207225717543</v>
      </c>
      <c r="C182" s="278">
        <v>0.9317916671690476</v>
      </c>
      <c r="D182" s="278">
        <v>7.0862746400260135E-2</v>
      </c>
      <c r="E182" s="278">
        <f t="shared" si="84"/>
        <v>3.4467751361410621</v>
      </c>
      <c r="F182" s="279"/>
      <c r="G182" s="278">
        <v>2.5075301785762338</v>
      </c>
      <c r="H182" s="278">
        <v>1.1241674889864688</v>
      </c>
      <c r="I182" s="278">
        <v>5.9844757356261817E-2</v>
      </c>
      <c r="J182" s="278">
        <f t="shared" si="85"/>
        <v>3.6915424249189646</v>
      </c>
      <c r="K182" s="279"/>
      <c r="L182" s="278">
        <v>3.210718661036386</v>
      </c>
      <c r="M182" s="278">
        <v>1.20802207441395</v>
      </c>
      <c r="N182" s="278">
        <v>6.1996973550364542E-2</v>
      </c>
      <c r="O182" s="278">
        <f t="shared" si="86"/>
        <v>4.4807377090007003</v>
      </c>
    </row>
    <row r="183" spans="1:15" s="212" customFormat="1">
      <c r="A183" s="213" t="str">
        <f>name!E$8</f>
        <v>Skilled trades occupations</v>
      </c>
      <c r="B183" s="278">
        <v>1.273038976950102</v>
      </c>
      <c r="C183" s="278">
        <v>0.32895932184074178</v>
      </c>
      <c r="D183" s="278">
        <v>0.45235585918733578</v>
      </c>
      <c r="E183" s="278">
        <f t="shared" si="84"/>
        <v>2.0543541579781799</v>
      </c>
      <c r="F183" s="279"/>
      <c r="G183" s="278">
        <v>0.92010562323947076</v>
      </c>
      <c r="H183" s="278">
        <v>0.22317808610563594</v>
      </c>
      <c r="I183" s="278">
        <v>0.30174322417609689</v>
      </c>
      <c r="J183" s="278">
        <f>SUM(G183:I183)</f>
        <v>1.4450269335212036</v>
      </c>
      <c r="K183" s="279"/>
      <c r="L183" s="278">
        <v>0.75998945543544993</v>
      </c>
      <c r="M183" s="278">
        <v>0.34044133082868344</v>
      </c>
      <c r="N183" s="278">
        <v>0.31588405440195871</v>
      </c>
      <c r="O183" s="278">
        <f t="shared" si="86"/>
        <v>1.4163148406660921</v>
      </c>
    </row>
    <row r="184" spans="1:15" s="212" customFormat="1">
      <c r="A184" s="213" t="str">
        <f>name!E$9</f>
        <v>Caring, leisure and other service occupations</v>
      </c>
      <c r="B184" s="278">
        <v>0.92909469718875393</v>
      </c>
      <c r="C184" s="278">
        <v>0.4468528470677226</v>
      </c>
      <c r="D184" s="278">
        <v>0.15575434716531555</v>
      </c>
      <c r="E184" s="278">
        <f t="shared" si="84"/>
        <v>1.5317018914217921</v>
      </c>
      <c r="F184" s="279"/>
      <c r="G184" s="278">
        <v>0.89262686718320206</v>
      </c>
      <c r="H184" s="278">
        <v>0.86941236312218151</v>
      </c>
      <c r="I184" s="278">
        <v>0.15119455699473022</v>
      </c>
      <c r="J184" s="278">
        <f t="shared" ref="J184:J187" si="87">SUM(G184:I184)</f>
        <v>1.9132337873001137</v>
      </c>
      <c r="K184" s="279"/>
      <c r="L184" s="278">
        <v>0.75467547633337861</v>
      </c>
      <c r="M184" s="278">
        <v>0.91514576952052429</v>
      </c>
      <c r="N184" s="278">
        <v>0.1962008978840894</v>
      </c>
      <c r="O184" s="278">
        <f t="shared" si="86"/>
        <v>1.8660221437379922</v>
      </c>
    </row>
    <row r="185" spans="1:15" s="212" customFormat="1">
      <c r="A185" s="213" t="str">
        <f>name!E$10</f>
        <v>Sales and customer service occupations</v>
      </c>
      <c r="B185" s="278">
        <v>0.81072003282449234</v>
      </c>
      <c r="C185" s="278">
        <v>0.25301322583511293</v>
      </c>
      <c r="D185" s="278">
        <v>7.4105826902408981E-2</v>
      </c>
      <c r="E185" s="278">
        <f t="shared" si="84"/>
        <v>1.1378390855620144</v>
      </c>
      <c r="F185" s="279"/>
      <c r="G185" s="278">
        <v>0.82514708451704588</v>
      </c>
      <c r="H185" s="278">
        <v>0.26297887625169031</v>
      </c>
      <c r="I185" s="278">
        <v>5.9978941597554944E-2</v>
      </c>
      <c r="J185" s="278">
        <f t="shared" si="87"/>
        <v>1.148104902366291</v>
      </c>
      <c r="K185" s="279"/>
      <c r="L185" s="278">
        <v>0.963383301827613</v>
      </c>
      <c r="M185" s="278">
        <v>0.3900454079225113</v>
      </c>
      <c r="N185" s="278">
        <v>5.9956303402132809E-2</v>
      </c>
      <c r="O185" s="278">
        <f t="shared" si="86"/>
        <v>1.4133850131522572</v>
      </c>
    </row>
    <row r="186" spans="1:15" s="212" customFormat="1">
      <c r="A186" s="213" t="str">
        <f>name!E$11</f>
        <v>Process, plant and machine operatives</v>
      </c>
      <c r="B186" s="278">
        <v>9.3325510773261122</v>
      </c>
      <c r="C186" s="278">
        <v>0.63012323641416601</v>
      </c>
      <c r="D186" s="278">
        <v>3.3343592146951337</v>
      </c>
      <c r="E186" s="278">
        <f t="shared" si="84"/>
        <v>13.297033528435412</v>
      </c>
      <c r="F186" s="279"/>
      <c r="G186" s="278">
        <v>7.2242841792140116</v>
      </c>
      <c r="H186" s="278">
        <v>1.8104622127135075</v>
      </c>
      <c r="I186" s="278">
        <v>3.4802101632499007</v>
      </c>
      <c r="J186" s="278">
        <f t="shared" si="87"/>
        <v>12.51495655517742</v>
      </c>
      <c r="K186" s="279"/>
      <c r="L186" s="278">
        <v>7.3957872807829954</v>
      </c>
      <c r="M186" s="278">
        <v>2.20323480645109</v>
      </c>
      <c r="N186" s="278">
        <v>4.1014032559055575</v>
      </c>
      <c r="O186" s="278">
        <f t="shared" si="86"/>
        <v>13.700425343139644</v>
      </c>
    </row>
    <row r="187" spans="1:15" s="212" customFormat="1">
      <c r="A187" s="213" t="str">
        <f>name!E$12</f>
        <v>Elementary occupations</v>
      </c>
      <c r="B187" s="278">
        <v>4.6828600114223473</v>
      </c>
      <c r="C187" s="278">
        <v>1.3281162469513792</v>
      </c>
      <c r="D187" s="278">
        <v>0.19056762181587039</v>
      </c>
      <c r="E187" s="278">
        <f t="shared" si="84"/>
        <v>6.2015438801895968</v>
      </c>
      <c r="F187" s="279"/>
      <c r="G187" s="278">
        <v>3.8124488507994614</v>
      </c>
      <c r="H187" s="278">
        <v>1.077605135036215</v>
      </c>
      <c r="I187" s="278">
        <v>0.14244229504362119</v>
      </c>
      <c r="J187" s="278">
        <f t="shared" si="87"/>
        <v>5.0324962808792977</v>
      </c>
      <c r="K187" s="279"/>
      <c r="L187" s="278">
        <v>4.4879688294841857</v>
      </c>
      <c r="M187" s="278">
        <v>1.4294940638929954</v>
      </c>
      <c r="N187" s="278">
        <v>0.16002149965485907</v>
      </c>
      <c r="O187" s="278">
        <f t="shared" si="86"/>
        <v>6.0774843930320399</v>
      </c>
    </row>
    <row r="188" spans="1:15" s="212" customFormat="1">
      <c r="A188" s="213"/>
      <c r="B188" s="278"/>
      <c r="C188" s="278"/>
      <c r="D188" s="278"/>
      <c r="E188" s="278"/>
      <c r="F188" s="279"/>
      <c r="G188" s="278"/>
      <c r="H188" s="278"/>
      <c r="I188" s="278"/>
      <c r="J188" s="278"/>
      <c r="K188" s="279"/>
      <c r="L188" s="278"/>
      <c r="M188" s="278"/>
      <c r="N188" s="278"/>
      <c r="O188" s="278"/>
    </row>
    <row r="189" spans="1:15" s="212" customFormat="1">
      <c r="A189" s="220" t="s">
        <v>117</v>
      </c>
      <c r="B189" s="282">
        <f>SUM(B179:B187)</f>
        <v>24.337537293063299</v>
      </c>
      <c r="C189" s="282">
        <f t="shared" ref="C189:E189" si="88">SUM(C179:C187)</f>
        <v>4.230794263387569</v>
      </c>
      <c r="D189" s="282">
        <f t="shared" si="88"/>
        <v>4.8886684435491157</v>
      </c>
      <c r="E189" s="282">
        <f t="shared" si="88"/>
        <v>33.456999999999979</v>
      </c>
      <c r="F189" s="282"/>
      <c r="G189" s="282">
        <f t="shared" ref="G189:J189" si="89">SUM(G179:G187)</f>
        <v>21.956660319941598</v>
      </c>
      <c r="H189" s="282">
        <f t="shared" si="89"/>
        <v>6.1232670275756034</v>
      </c>
      <c r="I189" s="282">
        <f t="shared" si="89"/>
        <v>4.8680726524827582</v>
      </c>
      <c r="J189" s="282">
        <f t="shared" si="89"/>
        <v>32.947999999999958</v>
      </c>
      <c r="K189" s="282"/>
      <c r="L189" s="282">
        <f t="shared" ref="L189:O189" si="90">SUM(L179:L187)</f>
        <v>24.663162036573045</v>
      </c>
      <c r="M189" s="282">
        <f t="shared" si="90"/>
        <v>7.4815834666777103</v>
      </c>
      <c r="N189" s="282">
        <f t="shared" si="90"/>
        <v>5.6162544967492725</v>
      </c>
      <c r="O189" s="282">
        <f t="shared" si="90"/>
        <v>37.761000000000024</v>
      </c>
    </row>
    <row r="190" spans="1:15" s="212" customFormat="1">
      <c r="A190" s="213"/>
      <c r="B190" s="213"/>
      <c r="C190" s="213"/>
      <c r="D190" s="213"/>
      <c r="E190" s="213"/>
      <c r="F190" s="213"/>
      <c r="G190" s="213"/>
      <c r="H190" s="213"/>
      <c r="I190" s="213"/>
      <c r="J190" s="213"/>
      <c r="K190" s="213"/>
      <c r="L190" s="213"/>
      <c r="M190" s="213"/>
      <c r="N190" s="216"/>
    </row>
    <row r="191" spans="1:15" s="212" customFormat="1">
      <c r="A191" s="213"/>
      <c r="B191" s="213"/>
      <c r="C191" s="213"/>
      <c r="D191" s="213"/>
      <c r="E191" s="213"/>
      <c r="F191" s="213"/>
      <c r="G191" s="213"/>
      <c r="H191" s="213"/>
      <c r="I191" s="213"/>
      <c r="J191" s="213"/>
      <c r="K191" s="213"/>
      <c r="L191" s="213"/>
      <c r="M191" s="213"/>
      <c r="N191" s="216"/>
      <c r="O191" s="227" t="s">
        <v>112</v>
      </c>
    </row>
    <row r="192" spans="1:15" s="212" customFormat="1">
      <c r="A192" s="218"/>
      <c r="B192" s="218"/>
      <c r="C192" s="218"/>
      <c r="D192" s="218"/>
      <c r="E192" s="218"/>
      <c r="F192" s="218"/>
      <c r="G192" s="218"/>
      <c r="H192" s="218"/>
      <c r="I192" s="218"/>
      <c r="J192" s="218"/>
      <c r="K192" s="218"/>
      <c r="L192" s="218"/>
      <c r="M192" s="218"/>
      <c r="N192" s="218"/>
      <c r="O192" s="218"/>
    </row>
    <row r="193" spans="1:15" s="212" customFormat="1">
      <c r="A193" s="217" t="str">
        <f>name!B14</f>
        <v>Accommodation and food</v>
      </c>
      <c r="B193" s="349">
        <f>$B$6</f>
        <v>2015</v>
      </c>
      <c r="C193" s="349"/>
      <c r="D193" s="349"/>
      <c r="E193" s="349"/>
      <c r="F193" s="239"/>
      <c r="G193" s="349">
        <f>$G$6</f>
        <v>2020</v>
      </c>
      <c r="H193" s="349"/>
      <c r="I193" s="349"/>
      <c r="J193" s="349"/>
      <c r="K193" s="239"/>
      <c r="L193" s="349">
        <f>$L$6</f>
        <v>2035</v>
      </c>
      <c r="M193" s="349"/>
      <c r="N193" s="349"/>
      <c r="O193" s="349"/>
    </row>
    <row r="194" spans="1:15" s="212" customFormat="1">
      <c r="A194" s="230"/>
      <c r="B194" s="244" t="str">
        <f>$B$7</f>
        <v>FT</v>
      </c>
      <c r="C194" s="244" t="str">
        <f>$C$7</f>
        <v>PT</v>
      </c>
      <c r="D194" s="244" t="str">
        <f>$D$7</f>
        <v>SE</v>
      </c>
      <c r="E194" s="244" t="str">
        <f>$E$7</f>
        <v>Total</v>
      </c>
      <c r="F194" s="244"/>
      <c r="G194" s="244" t="str">
        <f>$G$7</f>
        <v>FT</v>
      </c>
      <c r="H194" s="244" t="str">
        <f>$H$7</f>
        <v>PT</v>
      </c>
      <c r="I194" s="244" t="str">
        <f>$I$7</f>
        <v>SE</v>
      </c>
      <c r="J194" s="244" t="str">
        <f>$J$7</f>
        <v>Total</v>
      </c>
      <c r="K194" s="244"/>
      <c r="L194" s="244" t="str">
        <f>$L$7</f>
        <v>FT</v>
      </c>
      <c r="M194" s="244" t="str">
        <f>$M$7</f>
        <v>PT</v>
      </c>
      <c r="N194" s="244" t="str">
        <f>$N$7</f>
        <v>SE</v>
      </c>
      <c r="O194" s="244" t="str">
        <f>$O$7</f>
        <v>Total</v>
      </c>
    </row>
    <row r="195" spans="1:15" s="212" customFormat="1">
      <c r="A195" s="234"/>
      <c r="B195" s="215"/>
      <c r="C195" s="215"/>
      <c r="D195" s="215"/>
      <c r="E195" s="215"/>
      <c r="F195" s="215"/>
      <c r="G195" s="215"/>
      <c r="H195" s="215"/>
      <c r="I195" s="215"/>
      <c r="J195" s="215"/>
      <c r="K195" s="215"/>
      <c r="L195" s="215"/>
      <c r="M195" s="215"/>
      <c r="N195" s="215"/>
      <c r="O195" s="215"/>
    </row>
    <row r="196" spans="1:15" s="212" customFormat="1">
      <c r="A196" s="213" t="str">
        <f>name!E$4</f>
        <v>Managers, directors and senior officials</v>
      </c>
      <c r="B196" s="278">
        <v>1.7650574428974055</v>
      </c>
      <c r="C196" s="278">
        <v>0.24103705273341872</v>
      </c>
      <c r="D196" s="278">
        <v>0.67732276423652493</v>
      </c>
      <c r="E196" s="278">
        <f>SUM(B196:D196)</f>
        <v>2.6834172598673494</v>
      </c>
      <c r="F196" s="279"/>
      <c r="G196" s="278">
        <v>2.3252195536635796</v>
      </c>
      <c r="H196" s="278">
        <v>0.46812045692249782</v>
      </c>
      <c r="I196" s="278">
        <v>0.6688284299914804</v>
      </c>
      <c r="J196" s="278">
        <f>SUM(G196:I196)</f>
        <v>3.4621684405775577</v>
      </c>
      <c r="K196" s="279"/>
      <c r="L196" s="278">
        <v>2.8776349754843578</v>
      </c>
      <c r="M196" s="278">
        <v>0.67963477499158831</v>
      </c>
      <c r="N196" s="278">
        <v>0.75829811340173681</v>
      </c>
      <c r="O196" s="278">
        <f>SUM(L196:N196)</f>
        <v>4.3155678638776829</v>
      </c>
    </row>
    <row r="197" spans="1:15" s="212" customFormat="1">
      <c r="A197" s="213" t="str">
        <f>name!E$5</f>
        <v>Professional occupations</v>
      </c>
      <c r="B197" s="278">
        <v>0.60131565113695851</v>
      </c>
      <c r="C197" s="278">
        <v>8.9948299871190213E-2</v>
      </c>
      <c r="D197" s="278">
        <v>5.5640599398154092E-2</v>
      </c>
      <c r="E197" s="278">
        <f t="shared" ref="E197:E204" si="91">SUM(B197:D197)</f>
        <v>0.74690455040630288</v>
      </c>
      <c r="F197" s="279"/>
      <c r="G197" s="278">
        <v>0.94546533182542103</v>
      </c>
      <c r="H197" s="278">
        <v>0.18491800926934146</v>
      </c>
      <c r="I197" s="278">
        <v>5.2902721223304361E-2</v>
      </c>
      <c r="J197" s="278">
        <f t="shared" ref="J197:J199" si="92">SUM(G197:I197)</f>
        <v>1.183286062318067</v>
      </c>
      <c r="K197" s="279"/>
      <c r="L197" s="278">
        <v>1.3749878493565775</v>
      </c>
      <c r="M197" s="278">
        <v>0.3242235430414695</v>
      </c>
      <c r="N197" s="278">
        <v>4.1598562263898839E-2</v>
      </c>
      <c r="O197" s="278">
        <f t="shared" ref="O197:O204" si="93">SUM(L197:N197)</f>
        <v>1.7408099546619458</v>
      </c>
    </row>
    <row r="198" spans="1:15" s="212" customFormat="1">
      <c r="A198" s="213" t="str">
        <f>name!E$6</f>
        <v>Associate professional occupations</v>
      </c>
      <c r="B198" s="278">
        <v>0.48606996020389143</v>
      </c>
      <c r="C198" s="278">
        <v>0.25709468796286417</v>
      </c>
      <c r="D198" s="278">
        <v>3.2974355241346641E-2</v>
      </c>
      <c r="E198" s="278">
        <f t="shared" si="91"/>
        <v>0.77613900340810216</v>
      </c>
      <c r="F198" s="279"/>
      <c r="G198" s="278">
        <v>0.69054139049943986</v>
      </c>
      <c r="H198" s="278">
        <v>0.37049382665858849</v>
      </c>
      <c r="I198" s="278">
        <v>2.6566531693857198E-2</v>
      </c>
      <c r="J198" s="278">
        <f t="shared" si="92"/>
        <v>1.0876017488518857</v>
      </c>
      <c r="K198" s="279"/>
      <c r="L198" s="278">
        <v>0.95488836756414286</v>
      </c>
      <c r="M198" s="278">
        <v>0.6930662734219547</v>
      </c>
      <c r="N198" s="278">
        <v>2.8765566850819026E-2</v>
      </c>
      <c r="O198" s="278">
        <f t="shared" si="93"/>
        <v>1.6767202078369166</v>
      </c>
    </row>
    <row r="199" spans="1:15" s="212" customFormat="1">
      <c r="A199" s="213" t="str">
        <f>name!E$7</f>
        <v>Administrative and secretarial occupations</v>
      </c>
      <c r="B199" s="278">
        <v>0.77521714519979446</v>
      </c>
      <c r="C199" s="278">
        <v>0.40316398892266753</v>
      </c>
      <c r="D199" s="278">
        <v>2.4153869391872623E-2</v>
      </c>
      <c r="E199" s="278">
        <f t="shared" si="91"/>
        <v>1.2025350035143345</v>
      </c>
      <c r="F199" s="279"/>
      <c r="G199" s="278">
        <v>0.91902981597157007</v>
      </c>
      <c r="H199" s="278">
        <v>0.53557370289436645</v>
      </c>
      <c r="I199" s="278">
        <v>1.8838798040532592E-2</v>
      </c>
      <c r="J199" s="278">
        <f t="shared" si="92"/>
        <v>1.4734423169064692</v>
      </c>
      <c r="K199" s="279"/>
      <c r="L199" s="278">
        <v>1.3446932209659503</v>
      </c>
      <c r="M199" s="278">
        <v>0.97453516728138478</v>
      </c>
      <c r="N199" s="278">
        <v>2.469326693543749E-2</v>
      </c>
      <c r="O199" s="278">
        <f t="shared" si="93"/>
        <v>2.3439216551827724</v>
      </c>
    </row>
    <row r="200" spans="1:15" s="212" customFormat="1">
      <c r="A200" s="213" t="str">
        <f>name!E$8</f>
        <v>Skilled trades occupations</v>
      </c>
      <c r="B200" s="278">
        <v>1.4323606348381206</v>
      </c>
      <c r="C200" s="278">
        <v>1.1731753756998371</v>
      </c>
      <c r="D200" s="278">
        <v>0.19454720588724134</v>
      </c>
      <c r="E200" s="278">
        <f t="shared" si="91"/>
        <v>2.8000832164251994</v>
      </c>
      <c r="F200" s="279"/>
      <c r="G200" s="278">
        <v>1.294753345235256</v>
      </c>
      <c r="H200" s="278">
        <v>1.1696944520516919</v>
      </c>
      <c r="I200" s="278">
        <v>0.19352612132061595</v>
      </c>
      <c r="J200" s="278">
        <f>SUM(G200:I200)</f>
        <v>2.6579739186075639</v>
      </c>
      <c r="K200" s="279"/>
      <c r="L200" s="278">
        <v>0.8756940636383006</v>
      </c>
      <c r="M200" s="278">
        <v>1.6194162141454744</v>
      </c>
      <c r="N200" s="278">
        <v>0.24229951284437126</v>
      </c>
      <c r="O200" s="278">
        <f t="shared" si="93"/>
        <v>2.7374097906281465</v>
      </c>
    </row>
    <row r="201" spans="1:15" s="212" customFormat="1">
      <c r="A201" s="213" t="str">
        <f>name!E$9</f>
        <v>Caring, leisure and other service occupations</v>
      </c>
      <c r="B201" s="278">
        <v>0.45687608048535594</v>
      </c>
      <c r="C201" s="278">
        <v>0.50083059629165916</v>
      </c>
      <c r="D201" s="278">
        <v>5.2108597145707793E-2</v>
      </c>
      <c r="E201" s="278">
        <f t="shared" si="91"/>
        <v>1.0098152739227229</v>
      </c>
      <c r="F201" s="279"/>
      <c r="G201" s="278">
        <v>0.49682650757810348</v>
      </c>
      <c r="H201" s="278">
        <v>0.57885501083905988</v>
      </c>
      <c r="I201" s="278">
        <v>6.1745606045983427E-2</v>
      </c>
      <c r="J201" s="278">
        <f t="shared" ref="J201:J204" si="94">SUM(G201:I201)</f>
        <v>1.1374271244631466</v>
      </c>
      <c r="K201" s="279"/>
      <c r="L201" s="278">
        <v>0.52391338382128583</v>
      </c>
      <c r="M201" s="278">
        <v>0.6911615343462082</v>
      </c>
      <c r="N201" s="278">
        <v>0.10939900343440503</v>
      </c>
      <c r="O201" s="278">
        <f t="shared" si="93"/>
        <v>1.324473921601899</v>
      </c>
    </row>
    <row r="202" spans="1:15" s="212" customFormat="1">
      <c r="A202" s="213" t="str">
        <f>name!E$10</f>
        <v>Sales and customer service occupations</v>
      </c>
      <c r="B202" s="278">
        <v>0.53254593475594292</v>
      </c>
      <c r="C202" s="278">
        <v>0.98166204160136505</v>
      </c>
      <c r="D202" s="278">
        <v>0.28758660449892082</v>
      </c>
      <c r="E202" s="278">
        <f t="shared" si="91"/>
        <v>1.8017945808562288</v>
      </c>
      <c r="F202" s="279"/>
      <c r="G202" s="278">
        <v>0.60970667652931798</v>
      </c>
      <c r="H202" s="278">
        <v>1.2634491612192749</v>
      </c>
      <c r="I202" s="278">
        <v>0.19367254299196743</v>
      </c>
      <c r="J202" s="278">
        <f t="shared" si="94"/>
        <v>2.0668283807405601</v>
      </c>
      <c r="K202" s="279"/>
      <c r="L202" s="278">
        <v>0.91010219920748503</v>
      </c>
      <c r="M202" s="278">
        <v>2.25150816211158</v>
      </c>
      <c r="N202" s="278">
        <v>0.15629517164437301</v>
      </c>
      <c r="O202" s="278">
        <f t="shared" si="93"/>
        <v>3.3179055329634379</v>
      </c>
    </row>
    <row r="203" spans="1:15" s="212" customFormat="1">
      <c r="A203" s="213" t="str">
        <f>name!E$11</f>
        <v>Process, plant and machine operatives</v>
      </c>
      <c r="B203" s="278">
        <v>0.31187641013797035</v>
      </c>
      <c r="C203" s="278">
        <v>0.51515866321948933</v>
      </c>
      <c r="D203" s="278">
        <v>2.3277858636729334E-2</v>
      </c>
      <c r="E203" s="278">
        <f t="shared" si="91"/>
        <v>0.850312931994189</v>
      </c>
      <c r="F203" s="279"/>
      <c r="G203" s="278">
        <v>0.28007054200200654</v>
      </c>
      <c r="H203" s="278">
        <v>0.69173055609631284</v>
      </c>
      <c r="I203" s="278">
        <v>2.0289771334090715E-2</v>
      </c>
      <c r="J203" s="278">
        <f t="shared" si="94"/>
        <v>0.99209086943241009</v>
      </c>
      <c r="K203" s="279"/>
      <c r="L203" s="278">
        <v>0.34918484905549391</v>
      </c>
      <c r="M203" s="278">
        <v>1.3351017834421952</v>
      </c>
      <c r="N203" s="278">
        <v>3.1810902839426808E-2</v>
      </c>
      <c r="O203" s="278">
        <f t="shared" si="93"/>
        <v>1.716097535337116</v>
      </c>
    </row>
    <row r="204" spans="1:15" s="212" customFormat="1">
      <c r="A204" s="213" t="str">
        <f>name!E$12</f>
        <v>Elementary occupations</v>
      </c>
      <c r="B204" s="278">
        <v>1.9562254891131186</v>
      </c>
      <c r="C204" s="278">
        <v>8.0040564287096583</v>
      </c>
      <c r="D204" s="278">
        <v>7.4716261782755936E-2</v>
      </c>
      <c r="E204" s="278">
        <f t="shared" si="91"/>
        <v>10.034998179605532</v>
      </c>
      <c r="F204" s="279"/>
      <c r="G204" s="278">
        <v>2.0095286785445947</v>
      </c>
      <c r="H204" s="278">
        <v>8.5833312942577802</v>
      </c>
      <c r="I204" s="278">
        <v>4.8321165299976002E-2</v>
      </c>
      <c r="J204" s="278">
        <f t="shared" si="94"/>
        <v>10.64118113810235</v>
      </c>
      <c r="K204" s="279"/>
      <c r="L204" s="278">
        <v>2.31745763795112</v>
      </c>
      <c r="M204" s="278">
        <v>7.7779810735386379</v>
      </c>
      <c r="N204" s="278">
        <v>8.3654826420297451E-2</v>
      </c>
      <c r="O204" s="278">
        <f t="shared" si="93"/>
        <v>10.179093537910054</v>
      </c>
    </row>
    <row r="205" spans="1:15" s="212" customFormat="1">
      <c r="A205" s="213"/>
      <c r="B205" s="278"/>
      <c r="C205" s="278"/>
      <c r="D205" s="278"/>
      <c r="E205" s="278"/>
      <c r="F205" s="279"/>
      <c r="G205" s="278"/>
      <c r="H205" s="278"/>
      <c r="I205" s="278"/>
      <c r="J205" s="278"/>
      <c r="K205" s="279"/>
      <c r="L205" s="278"/>
      <c r="M205" s="278"/>
      <c r="N205" s="278"/>
      <c r="O205" s="278"/>
    </row>
    <row r="206" spans="1:15" s="212" customFormat="1">
      <c r="A206" s="220" t="s">
        <v>117</v>
      </c>
      <c r="B206" s="282">
        <f>SUM(B196:B204)</f>
        <v>8.3175447487685581</v>
      </c>
      <c r="C206" s="282">
        <f t="shared" ref="C206:E206" si="95">SUM(C196:C204)</f>
        <v>12.16612713501215</v>
      </c>
      <c r="D206" s="282">
        <f t="shared" si="95"/>
        <v>1.4223281162192534</v>
      </c>
      <c r="E206" s="282">
        <f t="shared" si="95"/>
        <v>21.905999999999963</v>
      </c>
      <c r="F206" s="282"/>
      <c r="G206" s="282">
        <f t="shared" ref="G206:J206" si="96">SUM(G196:G204)</f>
        <v>9.571141841849288</v>
      </c>
      <c r="H206" s="282">
        <f t="shared" si="96"/>
        <v>13.846166470208914</v>
      </c>
      <c r="I206" s="282">
        <f t="shared" si="96"/>
        <v>1.2846916879418082</v>
      </c>
      <c r="J206" s="282">
        <f t="shared" si="96"/>
        <v>24.702000000000012</v>
      </c>
      <c r="K206" s="282"/>
      <c r="L206" s="282">
        <f t="shared" ref="L206:O206" si="97">SUM(L196:L204)</f>
        <v>11.528556547044715</v>
      </c>
      <c r="M206" s="282">
        <f t="shared" si="97"/>
        <v>16.346628526320494</v>
      </c>
      <c r="N206" s="282">
        <f t="shared" si="97"/>
        <v>1.4768149266347657</v>
      </c>
      <c r="O206" s="282">
        <f t="shared" si="97"/>
        <v>29.351999999999968</v>
      </c>
    </row>
    <row r="207" spans="1:15" s="212" customFormat="1">
      <c r="A207" s="213"/>
      <c r="B207" s="213"/>
      <c r="C207" s="213"/>
      <c r="D207" s="213"/>
      <c r="E207" s="213"/>
      <c r="F207" s="213"/>
      <c r="G207" s="213"/>
      <c r="H207" s="213"/>
      <c r="I207" s="213"/>
      <c r="J207" s="213"/>
      <c r="K207" s="213"/>
      <c r="L207" s="213"/>
      <c r="M207" s="213"/>
      <c r="N207" s="216"/>
    </row>
    <row r="208" spans="1:15" s="212" customFormat="1">
      <c r="A208" s="213"/>
      <c r="B208" s="213"/>
      <c r="C208" s="213"/>
      <c r="D208" s="213"/>
      <c r="E208" s="213"/>
      <c r="F208" s="213"/>
      <c r="G208" s="213"/>
      <c r="H208" s="213"/>
      <c r="I208" s="213"/>
      <c r="J208" s="213"/>
      <c r="K208" s="213"/>
      <c r="L208" s="213"/>
      <c r="M208" s="213"/>
      <c r="N208" s="216"/>
      <c r="O208" s="227" t="s">
        <v>112</v>
      </c>
    </row>
    <row r="209" spans="1:15" s="212" customFormat="1">
      <c r="A209" s="218"/>
      <c r="B209" s="218"/>
      <c r="C209" s="218"/>
      <c r="D209" s="218"/>
      <c r="E209" s="218"/>
      <c r="F209" s="218"/>
      <c r="G209" s="218"/>
      <c r="H209" s="218"/>
      <c r="I209" s="218"/>
      <c r="J209" s="218"/>
      <c r="K209" s="218"/>
      <c r="L209" s="218"/>
      <c r="M209" s="218"/>
      <c r="N209" s="218"/>
      <c r="O209" s="218"/>
    </row>
    <row r="210" spans="1:15" s="212" customFormat="1">
      <c r="A210" s="217" t="str">
        <f>name!B15</f>
        <v>Media</v>
      </c>
      <c r="B210" s="349">
        <f>$B$6</f>
        <v>2015</v>
      </c>
      <c r="C210" s="349"/>
      <c r="D210" s="349"/>
      <c r="E210" s="349"/>
      <c r="F210" s="239"/>
      <c r="G210" s="349">
        <f>$G$6</f>
        <v>2020</v>
      </c>
      <c r="H210" s="349"/>
      <c r="I210" s="349"/>
      <c r="J210" s="349"/>
      <c r="K210" s="239"/>
      <c r="L210" s="349">
        <f>$L$6</f>
        <v>2035</v>
      </c>
      <c r="M210" s="349"/>
      <c r="N210" s="349"/>
      <c r="O210" s="349"/>
    </row>
    <row r="211" spans="1:15" s="212" customFormat="1">
      <c r="A211" s="230"/>
      <c r="B211" s="244" t="str">
        <f>$B$7</f>
        <v>FT</v>
      </c>
      <c r="C211" s="244" t="str">
        <f>$C$7</f>
        <v>PT</v>
      </c>
      <c r="D211" s="244" t="str">
        <f>$D$7</f>
        <v>SE</v>
      </c>
      <c r="E211" s="244" t="str">
        <f>$E$7</f>
        <v>Total</v>
      </c>
      <c r="F211" s="244"/>
      <c r="G211" s="244" t="str">
        <f>$G$7</f>
        <v>FT</v>
      </c>
      <c r="H211" s="244" t="str">
        <f>$H$7</f>
        <v>PT</v>
      </c>
      <c r="I211" s="244" t="str">
        <f>$I$7</f>
        <v>SE</v>
      </c>
      <c r="J211" s="244" t="str">
        <f>$J$7</f>
        <v>Total</v>
      </c>
      <c r="K211" s="244"/>
      <c r="L211" s="244" t="str">
        <f>$L$7</f>
        <v>FT</v>
      </c>
      <c r="M211" s="244" t="str">
        <f>$M$7</f>
        <v>PT</v>
      </c>
      <c r="N211" s="244" t="str">
        <f>$N$7</f>
        <v>SE</v>
      </c>
      <c r="O211" s="244" t="str">
        <f>$O$7</f>
        <v>Total</v>
      </c>
    </row>
    <row r="212" spans="1:15" s="212" customFormat="1">
      <c r="A212" s="234"/>
      <c r="B212" s="215"/>
      <c r="C212" s="215"/>
      <c r="D212" s="215"/>
      <c r="E212" s="215"/>
      <c r="F212" s="215"/>
      <c r="G212" s="215"/>
      <c r="H212" s="215"/>
      <c r="I212" s="215"/>
      <c r="J212" s="215"/>
      <c r="K212" s="215"/>
      <c r="L212" s="215"/>
      <c r="M212" s="215"/>
      <c r="N212" s="215"/>
      <c r="O212" s="215"/>
    </row>
    <row r="213" spans="1:15" s="212" customFormat="1">
      <c r="A213" s="213" t="str">
        <f>name!E$4</f>
        <v>Managers, directors and senior officials</v>
      </c>
      <c r="B213" s="278">
        <v>8.937740393237345E-2</v>
      </c>
      <c r="C213" s="278">
        <v>1.2817700341524397E-2</v>
      </c>
      <c r="D213" s="278">
        <v>4.9606724884297855E-2</v>
      </c>
      <c r="E213" s="278">
        <f>SUM(B213:D213)</f>
        <v>0.15180182915819571</v>
      </c>
      <c r="F213" s="279"/>
      <c r="G213" s="278">
        <v>7.758912756903992E-2</v>
      </c>
      <c r="H213" s="278">
        <v>2.5478257889050462E-2</v>
      </c>
      <c r="I213" s="278">
        <v>9.6314301700891836E-2</v>
      </c>
      <c r="J213" s="278">
        <f>SUM(G213:I213)</f>
        <v>0.19938168715898222</v>
      </c>
      <c r="K213" s="279"/>
      <c r="L213" s="278">
        <v>6.2914056617863021E-2</v>
      </c>
      <c r="M213" s="278">
        <v>3.0417836138574843E-2</v>
      </c>
      <c r="N213" s="278">
        <v>9.95249072272687E-2</v>
      </c>
      <c r="O213" s="278">
        <f>SUM(L213:N213)</f>
        <v>0.19285679998370656</v>
      </c>
    </row>
    <row r="214" spans="1:15" s="212" customFormat="1">
      <c r="A214" s="213" t="str">
        <f>name!E$5</f>
        <v>Professional occupations</v>
      </c>
      <c r="B214" s="278">
        <v>0.16644820972661098</v>
      </c>
      <c r="C214" s="278">
        <v>2.5042917292312814E-2</v>
      </c>
      <c r="D214" s="278">
        <v>0.15132105919128686</v>
      </c>
      <c r="E214" s="278">
        <f t="shared" ref="E214:E221" si="98">SUM(B214:D214)</f>
        <v>0.34281218621021065</v>
      </c>
      <c r="F214" s="279"/>
      <c r="G214" s="278">
        <v>0.17208467015704895</v>
      </c>
      <c r="H214" s="278">
        <v>4.9714805203301973E-2</v>
      </c>
      <c r="I214" s="278">
        <v>0.25534022107200333</v>
      </c>
      <c r="J214" s="278">
        <f t="shared" ref="J214:J216" si="99">SUM(G214:I214)</f>
        <v>0.47713969643235427</v>
      </c>
      <c r="K214" s="279"/>
      <c r="L214" s="278">
        <v>0.21288518705550705</v>
      </c>
      <c r="M214" s="278">
        <v>7.3114915812518666E-2</v>
      </c>
      <c r="N214" s="278">
        <v>0.22759743747482555</v>
      </c>
      <c r="O214" s="278">
        <f t="shared" ref="O214:O221" si="100">SUM(L214:N214)</f>
        <v>0.51359754034285121</v>
      </c>
    </row>
    <row r="215" spans="1:15" s="212" customFormat="1">
      <c r="A215" s="213" t="str">
        <f>name!E$6</f>
        <v>Associate professional occupations</v>
      </c>
      <c r="B215" s="278">
        <v>0.13564372967180641</v>
      </c>
      <c r="C215" s="278">
        <v>4.7891002466704996E-2</v>
      </c>
      <c r="D215" s="278">
        <v>0.23003550899117139</v>
      </c>
      <c r="E215" s="278">
        <f t="shared" si="98"/>
        <v>0.41357024112968277</v>
      </c>
      <c r="F215" s="279"/>
      <c r="G215" s="278">
        <v>0.11330982077571815</v>
      </c>
      <c r="H215" s="278">
        <v>7.928473095467993E-2</v>
      </c>
      <c r="I215" s="278">
        <v>0.40018852352538758</v>
      </c>
      <c r="J215" s="278">
        <f t="shared" si="99"/>
        <v>0.59278307525578566</v>
      </c>
      <c r="K215" s="279"/>
      <c r="L215" s="278">
        <v>0.10399941606355612</v>
      </c>
      <c r="M215" s="278">
        <v>8.0153806811996187E-2</v>
      </c>
      <c r="N215" s="278">
        <v>0.37574561733895662</v>
      </c>
      <c r="O215" s="278">
        <f t="shared" si="100"/>
        <v>0.55989884021450886</v>
      </c>
    </row>
    <row r="216" spans="1:15" s="212" customFormat="1">
      <c r="A216" s="213" t="str">
        <f>name!E$7</f>
        <v>Administrative and secretarial occupations</v>
      </c>
      <c r="B216" s="278">
        <v>9.2173505670630609E-2</v>
      </c>
      <c r="C216" s="278">
        <v>9.234169520623417E-2</v>
      </c>
      <c r="D216" s="278">
        <v>9.6440284918476327E-3</v>
      </c>
      <c r="E216" s="278">
        <f t="shared" si="98"/>
        <v>0.19415922936871244</v>
      </c>
      <c r="F216" s="279"/>
      <c r="G216" s="278">
        <v>6.2111293014288194E-2</v>
      </c>
      <c r="H216" s="278">
        <v>0.11762486953222294</v>
      </c>
      <c r="I216" s="278">
        <v>1.7224029629665488E-2</v>
      </c>
      <c r="J216" s="278">
        <f t="shared" si="99"/>
        <v>0.19696019217617663</v>
      </c>
      <c r="K216" s="279"/>
      <c r="L216" s="278">
        <v>5.5650938813353389E-2</v>
      </c>
      <c r="M216" s="278">
        <v>0.11509035370987047</v>
      </c>
      <c r="N216" s="278">
        <v>1.4606780184624687E-2</v>
      </c>
      <c r="O216" s="278">
        <f t="shared" si="100"/>
        <v>0.18534807270784856</v>
      </c>
    </row>
    <row r="217" spans="1:15" s="212" customFormat="1">
      <c r="A217" s="213" t="str">
        <f>name!E$8</f>
        <v>Skilled trades occupations</v>
      </c>
      <c r="B217" s="278">
        <v>5.3052679066786512E-2</v>
      </c>
      <c r="C217" s="278">
        <v>9.8434316371973397E-3</v>
      </c>
      <c r="D217" s="278">
        <v>5.6761829889482245E-2</v>
      </c>
      <c r="E217" s="278">
        <f t="shared" si="98"/>
        <v>0.1196579405934661</v>
      </c>
      <c r="F217" s="279"/>
      <c r="G217" s="278">
        <v>3.3649359695203246E-2</v>
      </c>
      <c r="H217" s="278">
        <v>1.2174051325593823E-2</v>
      </c>
      <c r="I217" s="278">
        <v>8.6415007573110214E-2</v>
      </c>
      <c r="J217" s="278">
        <f>SUM(G217:I217)</f>
        <v>0.13223841859390728</v>
      </c>
      <c r="K217" s="279"/>
      <c r="L217" s="278">
        <v>1.8290442065943529E-2</v>
      </c>
      <c r="M217" s="278">
        <v>1.5141869915495633E-2</v>
      </c>
      <c r="N217" s="278">
        <v>9.5449340050925258E-2</v>
      </c>
      <c r="O217" s="278">
        <f t="shared" si="100"/>
        <v>0.1288816520323644</v>
      </c>
    </row>
    <row r="218" spans="1:15" s="212" customFormat="1">
      <c r="A218" s="213" t="str">
        <f>name!E$9</f>
        <v>Caring, leisure and other service occupations</v>
      </c>
      <c r="B218" s="278">
        <v>4.6501443706388632E-2</v>
      </c>
      <c r="C218" s="278">
        <v>4.5684129203881957E-2</v>
      </c>
      <c r="D218" s="278">
        <v>9.6970629277535643E-3</v>
      </c>
      <c r="E218" s="278">
        <f t="shared" si="98"/>
        <v>0.10188263583802415</v>
      </c>
      <c r="F218" s="279"/>
      <c r="G218" s="278">
        <v>2.7702394842756099E-2</v>
      </c>
      <c r="H218" s="278">
        <v>5.9306148517387268E-2</v>
      </c>
      <c r="I218" s="278">
        <v>2.1081228227812731E-2</v>
      </c>
      <c r="J218" s="278">
        <f t="shared" ref="J218:J221" si="101">SUM(G218:I218)</f>
        <v>0.1080897715879561</v>
      </c>
      <c r="K218" s="279"/>
      <c r="L218" s="278">
        <v>2.9082647184378991E-2</v>
      </c>
      <c r="M218" s="278">
        <v>5.6207757066143366E-2</v>
      </c>
      <c r="N218" s="278">
        <v>2.3328261816666775E-2</v>
      </c>
      <c r="O218" s="278">
        <f t="shared" si="100"/>
        <v>0.10861866606718913</v>
      </c>
    </row>
    <row r="219" spans="1:15" s="212" customFormat="1">
      <c r="A219" s="213" t="str">
        <f>name!E$10</f>
        <v>Sales and customer service occupations</v>
      </c>
      <c r="B219" s="278">
        <v>5.1873427976939793E-2</v>
      </c>
      <c r="C219" s="278">
        <v>3.6099730254399505E-2</v>
      </c>
      <c r="D219" s="278">
        <v>1.1128914184818659E-2</v>
      </c>
      <c r="E219" s="278">
        <f t="shared" si="98"/>
        <v>9.9102072416157969E-2</v>
      </c>
      <c r="F219" s="279"/>
      <c r="G219" s="278">
        <v>3.5237542329283653E-2</v>
      </c>
      <c r="H219" s="278">
        <v>5.2904571583027762E-2</v>
      </c>
      <c r="I219" s="278">
        <v>1.5181874705139159E-2</v>
      </c>
      <c r="J219" s="278">
        <f t="shared" si="101"/>
        <v>0.10332398861745057</v>
      </c>
      <c r="K219" s="279"/>
      <c r="L219" s="278">
        <v>3.5082571321466305E-2</v>
      </c>
      <c r="M219" s="278">
        <v>6.6096785982293585E-2</v>
      </c>
      <c r="N219" s="278">
        <v>1.2364441893009366E-2</v>
      </c>
      <c r="O219" s="278">
        <f t="shared" si="100"/>
        <v>0.11354379919676925</v>
      </c>
    </row>
    <row r="220" spans="1:15" s="212" customFormat="1">
      <c r="A220" s="213" t="str">
        <f>name!E$11</f>
        <v>Process, plant and machine operatives</v>
      </c>
      <c r="B220" s="278">
        <v>1.5516211898087662E-2</v>
      </c>
      <c r="C220" s="278">
        <v>5.8856386045841461E-3</v>
      </c>
      <c r="D220" s="278">
        <v>1.5614039890463602E-2</v>
      </c>
      <c r="E220" s="278">
        <f t="shared" si="98"/>
        <v>3.7015890393135409E-2</v>
      </c>
      <c r="F220" s="279"/>
      <c r="G220" s="278">
        <v>8.72678370526353E-3</v>
      </c>
      <c r="H220" s="278">
        <v>9.2272615081798216E-3</v>
      </c>
      <c r="I220" s="278">
        <v>3.4930325209047895E-2</v>
      </c>
      <c r="J220" s="278">
        <f t="shared" si="101"/>
        <v>5.288437042249125E-2</v>
      </c>
      <c r="K220" s="279"/>
      <c r="L220" s="278">
        <v>5.3487483316070191E-3</v>
      </c>
      <c r="M220" s="278">
        <v>8.6602975912486568E-3</v>
      </c>
      <c r="N220" s="278">
        <v>4.7745248916984791E-2</v>
      </c>
      <c r="O220" s="278">
        <f t="shared" si="100"/>
        <v>6.1754294839840462E-2</v>
      </c>
    </row>
    <row r="221" spans="1:15" s="212" customFormat="1">
      <c r="A221" s="213" t="str">
        <f>name!E$12</f>
        <v>Elementary occupations</v>
      </c>
      <c r="B221" s="278">
        <v>7.0902245933797556E-2</v>
      </c>
      <c r="C221" s="278">
        <v>8.5774916454986652E-2</v>
      </c>
      <c r="D221" s="278">
        <v>9.1320812503628501E-2</v>
      </c>
      <c r="E221" s="278">
        <f t="shared" si="98"/>
        <v>0.24799797489241271</v>
      </c>
      <c r="F221" s="279"/>
      <c r="G221" s="278">
        <v>3.2993528949342148E-2</v>
      </c>
      <c r="H221" s="278">
        <v>9.1809969393836913E-2</v>
      </c>
      <c r="I221" s="278">
        <v>0.12239530141171889</v>
      </c>
      <c r="J221" s="278">
        <f t="shared" si="101"/>
        <v>0.24719879975489795</v>
      </c>
      <c r="K221" s="279"/>
      <c r="L221" s="278">
        <v>2.938335655070726E-2</v>
      </c>
      <c r="M221" s="278">
        <v>7.5098495253830236E-2</v>
      </c>
      <c r="N221" s="278">
        <v>0.13701848281038201</v>
      </c>
      <c r="O221" s="278">
        <f t="shared" si="100"/>
        <v>0.24150033461491949</v>
      </c>
    </row>
    <row r="222" spans="1:15" s="212" customFormat="1">
      <c r="A222" s="213"/>
      <c r="B222" s="278"/>
      <c r="C222" s="278"/>
      <c r="D222" s="278"/>
      <c r="E222" s="278"/>
      <c r="F222" s="279"/>
      <c r="G222" s="278"/>
      <c r="H222" s="278"/>
      <c r="I222" s="278"/>
      <c r="J222" s="278"/>
      <c r="K222" s="279"/>
      <c r="L222" s="278"/>
      <c r="M222" s="278"/>
      <c r="N222" s="278"/>
      <c r="O222" s="278"/>
    </row>
    <row r="223" spans="1:15" s="212" customFormat="1">
      <c r="A223" s="220" t="s">
        <v>117</v>
      </c>
      <c r="B223" s="282">
        <f>SUM(B213:B221)</f>
        <v>0.72148885758342174</v>
      </c>
      <c r="C223" s="282">
        <f t="shared" ref="C223:E223" si="102">SUM(C213:C221)</f>
        <v>0.36138116146182597</v>
      </c>
      <c r="D223" s="282">
        <f t="shared" si="102"/>
        <v>0.62512998095475036</v>
      </c>
      <c r="E223" s="282">
        <f t="shared" si="102"/>
        <v>1.707999999999998</v>
      </c>
      <c r="F223" s="282"/>
      <c r="G223" s="282">
        <f t="shared" ref="G223:J223" si="103">SUM(G213:G221)</f>
        <v>0.56340452103794392</v>
      </c>
      <c r="H223" s="282">
        <f t="shared" si="103"/>
        <v>0.49752466590728089</v>
      </c>
      <c r="I223" s="282">
        <f t="shared" si="103"/>
        <v>1.0490708130547775</v>
      </c>
      <c r="J223" s="282">
        <f t="shared" si="103"/>
        <v>2.1100000000000017</v>
      </c>
      <c r="K223" s="282"/>
      <c r="L223" s="282">
        <f t="shared" ref="L223:O223" si="104">SUM(L213:L221)</f>
        <v>0.55263736400438257</v>
      </c>
      <c r="M223" s="282">
        <f t="shared" si="104"/>
        <v>0.51998211828197161</v>
      </c>
      <c r="N223" s="282">
        <f t="shared" si="104"/>
        <v>1.0333805177136439</v>
      </c>
      <c r="O223" s="282">
        <f t="shared" si="104"/>
        <v>2.1059999999999977</v>
      </c>
    </row>
    <row r="224" spans="1:15" s="212" customFormat="1">
      <c r="A224" s="213"/>
      <c r="B224" s="213"/>
      <c r="C224" s="213"/>
      <c r="D224" s="213"/>
      <c r="E224" s="213"/>
      <c r="F224" s="213"/>
      <c r="G224" s="213"/>
      <c r="H224" s="213"/>
      <c r="I224" s="213"/>
      <c r="J224" s="213"/>
      <c r="K224" s="213"/>
      <c r="L224" s="213"/>
      <c r="M224" s="213"/>
      <c r="N224" s="216"/>
    </row>
    <row r="225" spans="1:15" s="212" customFormat="1">
      <c r="A225" s="213"/>
      <c r="B225" s="213"/>
      <c r="C225" s="213"/>
      <c r="D225" s="213"/>
      <c r="E225" s="213"/>
      <c r="F225" s="213"/>
      <c r="G225" s="213"/>
      <c r="H225" s="213"/>
      <c r="I225" s="213"/>
      <c r="J225" s="213"/>
      <c r="K225" s="213"/>
      <c r="L225" s="213"/>
      <c r="M225" s="213"/>
      <c r="N225" s="216"/>
      <c r="O225" s="227" t="s">
        <v>112</v>
      </c>
    </row>
    <row r="226" spans="1:15" s="212" customFormat="1">
      <c r="A226" s="218"/>
      <c r="B226" s="218"/>
      <c r="C226" s="218"/>
      <c r="D226" s="218"/>
      <c r="E226" s="218"/>
      <c r="F226" s="218"/>
      <c r="G226" s="218"/>
      <c r="H226" s="218"/>
      <c r="I226" s="218"/>
      <c r="J226" s="218"/>
      <c r="K226" s="218"/>
      <c r="L226" s="218"/>
      <c r="M226" s="218"/>
      <c r="N226" s="218"/>
      <c r="O226" s="218"/>
    </row>
    <row r="227" spans="1:15" s="212" customFormat="1">
      <c r="A227" s="217" t="str">
        <f>name!B16</f>
        <v>Information technology</v>
      </c>
      <c r="B227" s="349">
        <f>$B$6</f>
        <v>2015</v>
      </c>
      <c r="C227" s="349"/>
      <c r="D227" s="349"/>
      <c r="E227" s="349"/>
      <c r="F227" s="239"/>
      <c r="G227" s="349">
        <f>$G$6</f>
        <v>2020</v>
      </c>
      <c r="H227" s="349"/>
      <c r="I227" s="349"/>
      <c r="J227" s="349"/>
      <c r="K227" s="239"/>
      <c r="L227" s="349">
        <f>$L$6</f>
        <v>2035</v>
      </c>
      <c r="M227" s="349"/>
      <c r="N227" s="349"/>
      <c r="O227" s="349"/>
    </row>
    <row r="228" spans="1:15" s="212" customFormat="1">
      <c r="A228" s="230"/>
      <c r="B228" s="244" t="str">
        <f>$B$7</f>
        <v>FT</v>
      </c>
      <c r="C228" s="244" t="str">
        <f>$C$7</f>
        <v>PT</v>
      </c>
      <c r="D228" s="244" t="str">
        <f>$D$7</f>
        <v>SE</v>
      </c>
      <c r="E228" s="244" t="str">
        <f>$E$7</f>
        <v>Total</v>
      </c>
      <c r="F228" s="244"/>
      <c r="G228" s="244" t="str">
        <f>$G$7</f>
        <v>FT</v>
      </c>
      <c r="H228" s="244" t="str">
        <f>$H$7</f>
        <v>PT</v>
      </c>
      <c r="I228" s="244" t="str">
        <f>$I$7</f>
        <v>SE</v>
      </c>
      <c r="J228" s="244" t="str">
        <f>$J$7</f>
        <v>Total</v>
      </c>
      <c r="K228" s="244"/>
      <c r="L228" s="244" t="str">
        <f>$L$7</f>
        <v>FT</v>
      </c>
      <c r="M228" s="244" t="str">
        <f>$M$7</f>
        <v>PT</v>
      </c>
      <c r="N228" s="244" t="str">
        <f>$N$7</f>
        <v>SE</v>
      </c>
      <c r="O228" s="244" t="str">
        <f>$O$7</f>
        <v>Total</v>
      </c>
    </row>
    <row r="229" spans="1:15" s="212" customFormat="1">
      <c r="A229" s="234"/>
      <c r="B229" s="215"/>
      <c r="C229" s="215"/>
      <c r="D229" s="215"/>
      <c r="E229" s="215"/>
      <c r="F229" s="215"/>
      <c r="G229" s="215"/>
      <c r="H229" s="215"/>
      <c r="I229" s="215"/>
      <c r="J229" s="215"/>
      <c r="K229" s="215"/>
      <c r="L229" s="215"/>
      <c r="M229" s="215"/>
      <c r="N229" s="215"/>
      <c r="O229" s="215"/>
    </row>
    <row r="230" spans="1:15" s="212" customFormat="1">
      <c r="A230" s="213" t="str">
        <f>name!E$4</f>
        <v>Managers, directors and senior officials</v>
      </c>
      <c r="B230" s="278">
        <v>0.7665697631592302</v>
      </c>
      <c r="C230" s="278">
        <v>7.1431072967348852E-2</v>
      </c>
      <c r="D230" s="278">
        <v>8.2334798494845665E-2</v>
      </c>
      <c r="E230" s="278">
        <f>SUM(B230:D230)</f>
        <v>0.92033563462142476</v>
      </c>
      <c r="F230" s="279"/>
      <c r="G230" s="278">
        <v>0.79092791352507885</v>
      </c>
      <c r="H230" s="278">
        <v>7.2813810110001279E-2</v>
      </c>
      <c r="I230" s="278">
        <v>0.16014596148793175</v>
      </c>
      <c r="J230" s="278">
        <f>SUM(G230:I230)</f>
        <v>1.0238876851230119</v>
      </c>
      <c r="K230" s="279"/>
      <c r="L230" s="278">
        <v>0.70824569016854622</v>
      </c>
      <c r="M230" s="278">
        <v>8.2099902594696378E-2</v>
      </c>
      <c r="N230" s="278">
        <v>0.18305572532520581</v>
      </c>
      <c r="O230" s="278">
        <f>SUM(L230:N230)</f>
        <v>0.97340131808844843</v>
      </c>
    </row>
    <row r="231" spans="1:15" s="212" customFormat="1">
      <c r="A231" s="213" t="str">
        <f>name!E$5</f>
        <v>Professional occupations</v>
      </c>
      <c r="B231" s="278">
        <v>2.3215520825912734</v>
      </c>
      <c r="C231" s="278">
        <v>0.10011421023992056</v>
      </c>
      <c r="D231" s="278">
        <v>0.30428673343796514</v>
      </c>
      <c r="E231" s="278">
        <f t="shared" ref="E231:E238" si="105">SUM(B231:D231)</f>
        <v>2.7259530262691594</v>
      </c>
      <c r="F231" s="279"/>
      <c r="G231" s="278">
        <v>2.4967470805720713</v>
      </c>
      <c r="H231" s="278">
        <v>7.3804966955355086E-2</v>
      </c>
      <c r="I231" s="278">
        <v>0.51047112601244982</v>
      </c>
      <c r="J231" s="278">
        <f t="shared" ref="J231:J233" si="106">SUM(G231:I231)</f>
        <v>3.0810231735398759</v>
      </c>
      <c r="K231" s="279"/>
      <c r="L231" s="278">
        <v>3.0672121732413173</v>
      </c>
      <c r="M231" s="278">
        <v>9.4836606672262638E-2</v>
      </c>
      <c r="N231" s="278">
        <v>0.47439418017868523</v>
      </c>
      <c r="O231" s="278">
        <f t="shared" ref="O231:O238" si="107">SUM(L231:N231)</f>
        <v>3.636442960092265</v>
      </c>
    </row>
    <row r="232" spans="1:15" s="212" customFormat="1">
      <c r="A232" s="213" t="str">
        <f>name!E$6</f>
        <v>Associate professional occupations</v>
      </c>
      <c r="B232" s="278">
        <v>0.97816648012331875</v>
      </c>
      <c r="C232" s="278">
        <v>0.11399681105799746</v>
      </c>
      <c r="D232" s="278">
        <v>0.10706335823068865</v>
      </c>
      <c r="E232" s="278">
        <f t="shared" si="105"/>
        <v>1.1992266494120047</v>
      </c>
      <c r="F232" s="279"/>
      <c r="G232" s="278">
        <v>1.0156566011057306</v>
      </c>
      <c r="H232" s="278">
        <v>9.4449970274483624E-2</v>
      </c>
      <c r="I232" s="278">
        <v>0.17439729984040697</v>
      </c>
      <c r="J232" s="278">
        <f t="shared" si="106"/>
        <v>1.2845038712206214</v>
      </c>
      <c r="K232" s="279"/>
      <c r="L232" s="278">
        <v>0.98414923782795727</v>
      </c>
      <c r="M232" s="278">
        <v>9.0695315850805827E-2</v>
      </c>
      <c r="N232" s="278">
        <v>0.19071217877830401</v>
      </c>
      <c r="O232" s="278">
        <f t="shared" si="107"/>
        <v>1.2655567324570671</v>
      </c>
    </row>
    <row r="233" spans="1:15" s="212" customFormat="1">
      <c r="A233" s="213" t="str">
        <f>name!E$7</f>
        <v>Administrative and secretarial occupations</v>
      </c>
      <c r="B233" s="278">
        <v>0.40824112111503813</v>
      </c>
      <c r="C233" s="278">
        <v>0.26500517778476113</v>
      </c>
      <c r="D233" s="278">
        <v>1.8751499286724597E-2</v>
      </c>
      <c r="E233" s="278">
        <f t="shared" si="105"/>
        <v>0.69199779818652385</v>
      </c>
      <c r="F233" s="279"/>
      <c r="G233" s="278">
        <v>0.38388911663068886</v>
      </c>
      <c r="H233" s="278">
        <v>0.15153731010010404</v>
      </c>
      <c r="I233" s="278">
        <v>2.3778234964335631E-2</v>
      </c>
      <c r="J233" s="278">
        <f t="shared" si="106"/>
        <v>0.5592046616951285</v>
      </c>
      <c r="K233" s="279"/>
      <c r="L233" s="278">
        <v>0.35100957081301487</v>
      </c>
      <c r="M233" s="278">
        <v>0.13191392430989585</v>
      </c>
      <c r="N233" s="278">
        <v>1.6926178545782811E-2</v>
      </c>
      <c r="O233" s="278">
        <f t="shared" si="107"/>
        <v>0.49984967366869354</v>
      </c>
    </row>
    <row r="234" spans="1:15" s="212" customFormat="1">
      <c r="A234" s="213" t="str">
        <f>name!E$8</f>
        <v>Skilled trades occupations</v>
      </c>
      <c r="B234" s="278">
        <v>0.26116866119203858</v>
      </c>
      <c r="C234" s="278">
        <v>1.1021956236823914E-2</v>
      </c>
      <c r="D234" s="278">
        <v>9.0559010393069225E-2</v>
      </c>
      <c r="E234" s="278">
        <f t="shared" si="105"/>
        <v>0.36274962782193171</v>
      </c>
      <c r="F234" s="279"/>
      <c r="G234" s="278">
        <v>0.21206583909315194</v>
      </c>
      <c r="H234" s="278">
        <v>7.7846900139884375E-3</v>
      </c>
      <c r="I234" s="278">
        <v>0.12317314150499518</v>
      </c>
      <c r="J234" s="278">
        <f>SUM(G234:I234)</f>
        <v>0.34302367061213557</v>
      </c>
      <c r="K234" s="279"/>
      <c r="L234" s="278">
        <v>0.1391223788821323</v>
      </c>
      <c r="M234" s="278">
        <v>8.734961616251289E-3</v>
      </c>
      <c r="N234" s="278">
        <v>0.21185449966545303</v>
      </c>
      <c r="O234" s="278">
        <f t="shared" si="107"/>
        <v>0.35971184016383662</v>
      </c>
    </row>
    <row r="235" spans="1:15" s="212" customFormat="1">
      <c r="A235" s="213" t="str">
        <f>name!E$9</f>
        <v>Caring, leisure and other service occupations</v>
      </c>
      <c r="B235" s="278">
        <v>0.13128911470070845</v>
      </c>
      <c r="C235" s="278">
        <v>2.8343534890811015E-2</v>
      </c>
      <c r="D235" s="278">
        <v>1.117717750784244E-2</v>
      </c>
      <c r="E235" s="278">
        <f t="shared" si="105"/>
        <v>0.17080982709936191</v>
      </c>
      <c r="F235" s="279"/>
      <c r="G235" s="278">
        <v>0.12205214137790081</v>
      </c>
      <c r="H235" s="278">
        <v>1.7548615167114912E-2</v>
      </c>
      <c r="I235" s="278">
        <v>1.6979733107886145E-2</v>
      </c>
      <c r="J235" s="278">
        <f t="shared" ref="J235:J238" si="108">SUM(G235:I235)</f>
        <v>0.15658048965290186</v>
      </c>
      <c r="K235" s="279"/>
      <c r="L235" s="278">
        <v>0.14666832796333534</v>
      </c>
      <c r="M235" s="278">
        <v>1.6678173230931927E-2</v>
      </c>
      <c r="N235" s="278">
        <v>2.599336376614924E-2</v>
      </c>
      <c r="O235" s="278">
        <f t="shared" si="107"/>
        <v>0.18933986496041652</v>
      </c>
    </row>
    <row r="236" spans="1:15" s="212" customFormat="1">
      <c r="A236" s="213" t="str">
        <f>name!E$10</f>
        <v>Sales and customer service occupations</v>
      </c>
      <c r="B236" s="278">
        <v>0.18574357523239007</v>
      </c>
      <c r="C236" s="278">
        <v>9.8982312321876709E-2</v>
      </c>
      <c r="D236" s="278">
        <v>1.313354814521572E-2</v>
      </c>
      <c r="E236" s="278">
        <f t="shared" si="105"/>
        <v>0.29785943569948248</v>
      </c>
      <c r="F236" s="279"/>
      <c r="G236" s="278">
        <v>0.17930543728978024</v>
      </c>
      <c r="H236" s="278">
        <v>7.3336448461346695E-2</v>
      </c>
      <c r="I236" s="278">
        <v>1.5905896828171531E-2</v>
      </c>
      <c r="J236" s="278">
        <f t="shared" si="108"/>
        <v>0.26854778257929846</v>
      </c>
      <c r="K236" s="279"/>
      <c r="L236" s="278">
        <v>0.18834694257593212</v>
      </c>
      <c r="M236" s="278">
        <v>8.6165603152511275E-2</v>
      </c>
      <c r="N236" s="278">
        <v>1.7254129441725559E-2</v>
      </c>
      <c r="O236" s="278">
        <f t="shared" si="107"/>
        <v>0.29176667517016897</v>
      </c>
    </row>
    <row r="237" spans="1:15" s="212" customFormat="1">
      <c r="A237" s="213" t="str">
        <f>name!E$11</f>
        <v>Process, plant and machine operatives</v>
      </c>
      <c r="B237" s="278">
        <v>3.0590046208429884E-2</v>
      </c>
      <c r="C237" s="278">
        <v>1.0492129790542183E-2</v>
      </c>
      <c r="D237" s="278">
        <v>2.0582079595346237E-2</v>
      </c>
      <c r="E237" s="278">
        <f t="shared" si="105"/>
        <v>6.1664255594318304E-2</v>
      </c>
      <c r="F237" s="279"/>
      <c r="G237" s="278">
        <v>2.2161158970245936E-2</v>
      </c>
      <c r="H237" s="278">
        <v>1.3041426478463644E-2</v>
      </c>
      <c r="I237" s="278">
        <v>3.5984257882780847E-2</v>
      </c>
      <c r="J237" s="278">
        <f t="shared" si="108"/>
        <v>7.1186843331490418E-2</v>
      </c>
      <c r="K237" s="279"/>
      <c r="L237" s="278">
        <v>1.8295963687884238E-2</v>
      </c>
      <c r="M237" s="278">
        <v>1.2031081041270056E-2</v>
      </c>
      <c r="N237" s="278">
        <v>4.6414630425785697E-2</v>
      </c>
      <c r="O237" s="278">
        <f t="shared" si="107"/>
        <v>7.6741675154939987E-2</v>
      </c>
    </row>
    <row r="238" spans="1:15" s="212" customFormat="1">
      <c r="A238" s="213" t="str">
        <f>name!E$12</f>
        <v>Elementary occupations</v>
      </c>
      <c r="B238" s="278">
        <v>5.2892833089258698E-2</v>
      </c>
      <c r="C238" s="278">
        <v>2.3999318044347032E-2</v>
      </c>
      <c r="D238" s="278">
        <v>3.0511594162189383E-2</v>
      </c>
      <c r="E238" s="278">
        <f t="shared" si="105"/>
        <v>0.10740374529579511</v>
      </c>
      <c r="F238" s="279"/>
      <c r="G238" s="278">
        <v>3.5008296967675712E-2</v>
      </c>
      <c r="H238" s="278">
        <v>1.3972981121699061E-2</v>
      </c>
      <c r="I238" s="278">
        <v>3.6060544156145846E-2</v>
      </c>
      <c r="J238" s="278">
        <f t="shared" si="108"/>
        <v>8.5041822245520621E-2</v>
      </c>
      <c r="K238" s="279"/>
      <c r="L238" s="278">
        <v>3.0810618026707894E-2</v>
      </c>
      <c r="M238" s="278">
        <v>1.5790788808435499E-2</v>
      </c>
      <c r="N238" s="278">
        <v>5.0587853409011174E-2</v>
      </c>
      <c r="O238" s="278">
        <f t="shared" si="107"/>
        <v>9.7189260244154571E-2</v>
      </c>
    </row>
    <row r="239" spans="1:15" s="212" customFormat="1">
      <c r="A239" s="213"/>
      <c r="B239" s="278"/>
      <c r="C239" s="278"/>
      <c r="D239" s="278"/>
      <c r="E239" s="278"/>
      <c r="F239" s="279"/>
      <c r="G239" s="278"/>
      <c r="H239" s="278"/>
      <c r="I239" s="278"/>
      <c r="J239" s="278"/>
      <c r="K239" s="279"/>
      <c r="L239" s="278"/>
      <c r="M239" s="278"/>
      <c r="N239" s="278"/>
      <c r="O239" s="278"/>
    </row>
    <row r="240" spans="1:15" s="212" customFormat="1">
      <c r="A240" s="220" t="s">
        <v>117</v>
      </c>
      <c r="B240" s="282">
        <f>SUM(B230:B238)</f>
        <v>5.1362136774116864</v>
      </c>
      <c r="C240" s="282">
        <f t="shared" ref="C240:E240" si="109">SUM(C230:C238)</f>
        <v>0.72338652333442877</v>
      </c>
      <c r="D240" s="282">
        <f t="shared" si="109"/>
        <v>0.67839979925388705</v>
      </c>
      <c r="E240" s="282">
        <f t="shared" si="109"/>
        <v>6.538000000000002</v>
      </c>
      <c r="F240" s="282"/>
      <c r="G240" s="282">
        <f t="shared" ref="G240:J240" si="110">SUM(G230:G238)</f>
        <v>5.2578135855323245</v>
      </c>
      <c r="H240" s="282">
        <f t="shared" si="110"/>
        <v>0.51829021868255687</v>
      </c>
      <c r="I240" s="282">
        <f t="shared" si="110"/>
        <v>1.096896195785104</v>
      </c>
      <c r="J240" s="282">
        <f t="shared" si="110"/>
        <v>6.8729999999999842</v>
      </c>
      <c r="K240" s="282"/>
      <c r="L240" s="282">
        <f t="shared" ref="L240:O240" si="111">SUM(L230:L238)</f>
        <v>5.6338609031868279</v>
      </c>
      <c r="M240" s="282">
        <f t="shared" si="111"/>
        <v>0.53894635727706075</v>
      </c>
      <c r="N240" s="282">
        <f t="shared" si="111"/>
        <v>1.2171927395361026</v>
      </c>
      <c r="O240" s="282">
        <f t="shared" si="111"/>
        <v>7.3899999999999899</v>
      </c>
    </row>
    <row r="241" spans="1:15" s="212" customFormat="1">
      <c r="A241" s="213"/>
      <c r="B241" s="213"/>
      <c r="C241" s="213"/>
      <c r="D241" s="213"/>
      <c r="E241" s="213"/>
      <c r="F241" s="213"/>
      <c r="G241" s="213"/>
      <c r="H241" s="213"/>
      <c r="I241" s="213"/>
      <c r="J241" s="213"/>
      <c r="K241" s="213"/>
      <c r="L241" s="213"/>
      <c r="M241" s="213"/>
      <c r="N241" s="216"/>
    </row>
    <row r="242" spans="1:15" s="212" customFormat="1">
      <c r="A242" s="213"/>
      <c r="B242" s="213"/>
      <c r="C242" s="213"/>
      <c r="D242" s="213"/>
      <c r="E242" s="213"/>
      <c r="F242" s="213"/>
      <c r="G242" s="213"/>
      <c r="H242" s="213"/>
      <c r="I242" s="213"/>
      <c r="J242" s="213"/>
      <c r="K242" s="213"/>
      <c r="L242" s="213"/>
      <c r="M242" s="213"/>
      <c r="N242" s="216"/>
      <c r="O242" s="227" t="s">
        <v>112</v>
      </c>
    </row>
    <row r="243" spans="1:15" s="212" customFormat="1">
      <c r="A243" s="218"/>
      <c r="B243" s="218"/>
      <c r="C243" s="218"/>
      <c r="D243" s="218"/>
      <c r="E243" s="218"/>
      <c r="F243" s="218"/>
      <c r="G243" s="218"/>
      <c r="H243" s="218"/>
      <c r="I243" s="218"/>
      <c r="J243" s="218"/>
      <c r="K243" s="218"/>
      <c r="L243" s="218"/>
      <c r="M243" s="218"/>
      <c r="N243" s="218"/>
      <c r="O243" s="218"/>
    </row>
    <row r="244" spans="1:15" s="212" customFormat="1">
      <c r="A244" s="217" t="str">
        <f>name!B17</f>
        <v>Finance and insurance</v>
      </c>
      <c r="B244" s="349">
        <f>$B$6</f>
        <v>2015</v>
      </c>
      <c r="C244" s="349"/>
      <c r="D244" s="349"/>
      <c r="E244" s="349"/>
      <c r="F244" s="239"/>
      <c r="G244" s="349">
        <f>$G$6</f>
        <v>2020</v>
      </c>
      <c r="H244" s="349"/>
      <c r="I244" s="349"/>
      <c r="J244" s="349"/>
      <c r="K244" s="239"/>
      <c r="L244" s="349">
        <f>$L$6</f>
        <v>2035</v>
      </c>
      <c r="M244" s="349"/>
      <c r="N244" s="349"/>
      <c r="O244" s="349"/>
    </row>
    <row r="245" spans="1:15" s="212" customFormat="1">
      <c r="A245" s="230"/>
      <c r="B245" s="244" t="str">
        <f>$B$7</f>
        <v>FT</v>
      </c>
      <c r="C245" s="244" t="str">
        <f>$C$7</f>
        <v>PT</v>
      </c>
      <c r="D245" s="244" t="str">
        <f>$D$7</f>
        <v>SE</v>
      </c>
      <c r="E245" s="244" t="str">
        <f>$E$7</f>
        <v>Total</v>
      </c>
      <c r="F245" s="244"/>
      <c r="G245" s="244" t="str">
        <f>$G$7</f>
        <v>FT</v>
      </c>
      <c r="H245" s="244" t="str">
        <f>$H$7</f>
        <v>PT</v>
      </c>
      <c r="I245" s="244" t="str">
        <f>$I$7</f>
        <v>SE</v>
      </c>
      <c r="J245" s="244" t="str">
        <f>$J$7</f>
        <v>Total</v>
      </c>
      <c r="K245" s="244"/>
      <c r="L245" s="244" t="str">
        <f>$L$7</f>
        <v>FT</v>
      </c>
      <c r="M245" s="244" t="str">
        <f>$M$7</f>
        <v>PT</v>
      </c>
      <c r="N245" s="244" t="str">
        <f>$N$7</f>
        <v>SE</v>
      </c>
      <c r="O245" s="244" t="str">
        <f>$O$7</f>
        <v>Total</v>
      </c>
    </row>
    <row r="246" spans="1:15" s="212" customFormat="1">
      <c r="A246" s="234"/>
      <c r="B246" s="215"/>
      <c r="C246" s="215"/>
      <c r="D246" s="215"/>
      <c r="E246" s="215"/>
      <c r="F246" s="215"/>
      <c r="G246" s="215"/>
      <c r="H246" s="215"/>
      <c r="I246" s="215"/>
      <c r="J246" s="215"/>
      <c r="K246" s="215"/>
      <c r="L246" s="215"/>
      <c r="M246" s="215"/>
      <c r="N246" s="215"/>
      <c r="O246" s="215"/>
    </row>
    <row r="247" spans="1:15" s="212" customFormat="1">
      <c r="A247" s="213" t="str">
        <f>name!E$4</f>
        <v>Managers, directors and senior officials</v>
      </c>
      <c r="B247" s="278">
        <v>1.1702966999429081</v>
      </c>
      <c r="C247" s="278">
        <v>9.4523209161000127E-2</v>
      </c>
      <c r="D247" s="278">
        <v>0.12419674860176871</v>
      </c>
      <c r="E247" s="278">
        <f>SUM(B247:D247)</f>
        <v>1.3890166577056771</v>
      </c>
      <c r="F247" s="279"/>
      <c r="G247" s="278">
        <v>1.2163571887794993</v>
      </c>
      <c r="H247" s="278">
        <v>0.17777320134090199</v>
      </c>
      <c r="I247" s="278">
        <v>0.12362303475461714</v>
      </c>
      <c r="J247" s="278">
        <f>SUM(G247:I247)</f>
        <v>1.5177534248750184</v>
      </c>
      <c r="K247" s="279"/>
      <c r="L247" s="278">
        <v>1.016253427153808</v>
      </c>
      <c r="M247" s="278">
        <v>0.22573678789906687</v>
      </c>
      <c r="N247" s="278">
        <v>0.1278270761206961</v>
      </c>
      <c r="O247" s="278">
        <f>SUM(L247:N247)</f>
        <v>1.3698172911735709</v>
      </c>
    </row>
    <row r="248" spans="1:15" s="212" customFormat="1">
      <c r="A248" s="213" t="str">
        <f>name!E$5</f>
        <v>Professional occupations</v>
      </c>
      <c r="B248" s="278">
        <v>1.4549066860266444</v>
      </c>
      <c r="C248" s="278">
        <v>7.1757089548664221E-2</v>
      </c>
      <c r="D248" s="278">
        <v>0.31639856209723133</v>
      </c>
      <c r="E248" s="278">
        <f t="shared" ref="E248:E255" si="112">SUM(B248:D248)</f>
        <v>1.8430623376725399</v>
      </c>
      <c r="F248" s="279"/>
      <c r="G248" s="278">
        <v>1.791039698948006</v>
      </c>
      <c r="H248" s="278">
        <v>0.12508077184250074</v>
      </c>
      <c r="I248" s="278">
        <v>0.22721365949115024</v>
      </c>
      <c r="J248" s="278">
        <f t="shared" ref="J248:J250" si="113">SUM(G248:I248)</f>
        <v>2.1433341302816569</v>
      </c>
      <c r="K248" s="279"/>
      <c r="L248" s="278">
        <v>2.1206705174600913</v>
      </c>
      <c r="M248" s="278">
        <v>0.13940839672793723</v>
      </c>
      <c r="N248" s="278">
        <v>0.20254528158487517</v>
      </c>
      <c r="O248" s="278">
        <f t="shared" ref="O248:O255" si="114">SUM(L248:N248)</f>
        <v>2.4626241957729036</v>
      </c>
    </row>
    <row r="249" spans="1:15" s="212" customFormat="1">
      <c r="A249" s="213" t="str">
        <f>name!E$6</f>
        <v>Associate professional occupations</v>
      </c>
      <c r="B249" s="278">
        <v>1.770121704493264</v>
      </c>
      <c r="C249" s="278">
        <v>0.18132809543909295</v>
      </c>
      <c r="D249" s="278">
        <v>0.37877298907491275</v>
      </c>
      <c r="E249" s="278">
        <f t="shared" si="112"/>
        <v>2.3302227890072698</v>
      </c>
      <c r="F249" s="279"/>
      <c r="G249" s="278">
        <v>1.882742372813363</v>
      </c>
      <c r="H249" s="278">
        <v>0.25115175823939867</v>
      </c>
      <c r="I249" s="278">
        <v>0.29833457807639829</v>
      </c>
      <c r="J249" s="278">
        <f t="shared" si="113"/>
        <v>2.4322287091291601</v>
      </c>
      <c r="K249" s="279"/>
      <c r="L249" s="278">
        <v>1.7024408302918317</v>
      </c>
      <c r="M249" s="278">
        <v>0.25754221328791416</v>
      </c>
      <c r="N249" s="278">
        <v>0.32988513515492995</v>
      </c>
      <c r="O249" s="278">
        <f t="shared" si="114"/>
        <v>2.2898681787346757</v>
      </c>
    </row>
    <row r="250" spans="1:15" s="212" customFormat="1">
      <c r="A250" s="213" t="str">
        <f>name!E$7</f>
        <v>Administrative and secretarial occupations</v>
      </c>
      <c r="B250" s="278">
        <v>2.2698345026195903</v>
      </c>
      <c r="C250" s="278">
        <v>0.81619617859017146</v>
      </c>
      <c r="D250" s="278">
        <v>0.14316771860892061</v>
      </c>
      <c r="E250" s="278">
        <f t="shared" si="112"/>
        <v>3.229198399818682</v>
      </c>
      <c r="F250" s="279"/>
      <c r="G250" s="278">
        <v>2.0816918509268105</v>
      </c>
      <c r="H250" s="278">
        <v>0.96546623008841082</v>
      </c>
      <c r="I250" s="278">
        <v>6.3019296354085846E-2</v>
      </c>
      <c r="J250" s="278">
        <f t="shared" si="113"/>
        <v>3.1101773773693071</v>
      </c>
      <c r="K250" s="279"/>
      <c r="L250" s="278">
        <v>1.8349836133529551</v>
      </c>
      <c r="M250" s="278">
        <v>0.80350346576359255</v>
      </c>
      <c r="N250" s="278">
        <v>6.4094094878488675E-2</v>
      </c>
      <c r="O250" s="278">
        <f t="shared" si="114"/>
        <v>2.7025811739950361</v>
      </c>
    </row>
    <row r="251" spans="1:15" s="212" customFormat="1">
      <c r="A251" s="213" t="str">
        <f>name!E$8</f>
        <v>Skilled trades occupations</v>
      </c>
      <c r="B251" s="278">
        <v>6.6722579093641807E-2</v>
      </c>
      <c r="C251" s="278">
        <v>1.5517620770709228E-2</v>
      </c>
      <c r="D251" s="278">
        <v>4.4164544383632688E-2</v>
      </c>
      <c r="E251" s="278">
        <f t="shared" si="112"/>
        <v>0.12640474424798373</v>
      </c>
      <c r="F251" s="279"/>
      <c r="G251" s="278">
        <v>5.1257080742400499E-2</v>
      </c>
      <c r="H251" s="278">
        <v>1.5521568503073837E-2</v>
      </c>
      <c r="I251" s="278">
        <v>3.2205323606193131E-2</v>
      </c>
      <c r="J251" s="278">
        <f>SUM(G251:I251)</f>
        <v>9.8983972851667462E-2</v>
      </c>
      <c r="K251" s="279"/>
      <c r="L251" s="278">
        <v>4.2325509915735436E-2</v>
      </c>
      <c r="M251" s="278">
        <v>1.3676392450208233E-2</v>
      </c>
      <c r="N251" s="278">
        <v>3.0585362635510024E-2</v>
      </c>
      <c r="O251" s="278">
        <f t="shared" si="114"/>
        <v>8.6587265001453695E-2</v>
      </c>
    </row>
    <row r="252" spans="1:15" s="212" customFormat="1">
      <c r="A252" s="213" t="str">
        <f>name!E$9</f>
        <v>Caring, leisure and other service occupations</v>
      </c>
      <c r="B252" s="278">
        <v>5.3250982149252252E-2</v>
      </c>
      <c r="C252" s="278">
        <v>6.3257761599826521E-3</v>
      </c>
      <c r="D252" s="278">
        <v>3.8789529541918444E-2</v>
      </c>
      <c r="E252" s="278">
        <f t="shared" si="112"/>
        <v>9.8366287851153339E-2</v>
      </c>
      <c r="F252" s="279"/>
      <c r="G252" s="278">
        <v>5.9535717462848449E-2</v>
      </c>
      <c r="H252" s="278">
        <v>7.2671162431966578E-3</v>
      </c>
      <c r="I252" s="278">
        <v>1.7055587136763493E-2</v>
      </c>
      <c r="J252" s="278">
        <f t="shared" ref="J252:J255" si="115">SUM(G252:I252)</f>
        <v>8.385842084280859E-2</v>
      </c>
      <c r="K252" s="279"/>
      <c r="L252" s="278">
        <v>6.3394991191707536E-2</v>
      </c>
      <c r="M252" s="278">
        <v>5.6252802174866961E-3</v>
      </c>
      <c r="N252" s="278">
        <v>2.7734413492262897E-2</v>
      </c>
      <c r="O252" s="278">
        <f t="shared" si="114"/>
        <v>9.6754684901457125E-2</v>
      </c>
    </row>
    <row r="253" spans="1:15" s="212" customFormat="1">
      <c r="A253" s="213" t="str">
        <f>name!E$10</f>
        <v>Sales and customer service occupations</v>
      </c>
      <c r="B253" s="278">
        <v>0.55146877520381266</v>
      </c>
      <c r="C253" s="278">
        <v>0.21618921507372449</v>
      </c>
      <c r="D253" s="278">
        <v>0.18764512429881866</v>
      </c>
      <c r="E253" s="278">
        <f t="shared" si="112"/>
        <v>0.95530311457635575</v>
      </c>
      <c r="F253" s="279"/>
      <c r="G253" s="278">
        <v>0.51526535352135328</v>
      </c>
      <c r="H253" s="278">
        <v>0.29444589856968967</v>
      </c>
      <c r="I253" s="278">
        <v>5.6265686955835968E-2</v>
      </c>
      <c r="J253" s="278">
        <f t="shared" si="115"/>
        <v>0.865976939046879</v>
      </c>
      <c r="K253" s="279"/>
      <c r="L253" s="278">
        <v>0.48885676990215521</v>
      </c>
      <c r="M253" s="278">
        <v>0.31084355962204752</v>
      </c>
      <c r="N253" s="278">
        <v>5.0548605536666541E-2</v>
      </c>
      <c r="O253" s="278">
        <f t="shared" si="114"/>
        <v>0.85024893506086918</v>
      </c>
    </row>
    <row r="254" spans="1:15" s="212" customFormat="1">
      <c r="A254" s="213" t="str">
        <f>name!E$11</f>
        <v>Process, plant and machine operatives</v>
      </c>
      <c r="B254" s="278">
        <v>3.5554845988159889E-2</v>
      </c>
      <c r="C254" s="278">
        <v>4.7409332730350947E-3</v>
      </c>
      <c r="D254" s="278">
        <v>3.0986358859780839E-2</v>
      </c>
      <c r="E254" s="278">
        <f t="shared" si="112"/>
        <v>7.1282138120975821E-2</v>
      </c>
      <c r="F254" s="279"/>
      <c r="G254" s="278">
        <v>2.5709987609614383E-2</v>
      </c>
      <c r="H254" s="278">
        <v>5.8371000970978979E-3</v>
      </c>
      <c r="I254" s="278">
        <v>4.5031729804770097E-2</v>
      </c>
      <c r="J254" s="278">
        <f t="shared" si="115"/>
        <v>7.6578817511482378E-2</v>
      </c>
      <c r="K254" s="279"/>
      <c r="L254" s="278">
        <v>2.2182799278891642E-2</v>
      </c>
      <c r="M254" s="278">
        <v>8.2199707032836033E-3</v>
      </c>
      <c r="N254" s="278">
        <v>6.0727653533501021E-2</v>
      </c>
      <c r="O254" s="278">
        <f t="shared" si="114"/>
        <v>9.1130423515676268E-2</v>
      </c>
    </row>
    <row r="255" spans="1:15" s="212" customFormat="1">
      <c r="A255" s="213" t="str">
        <f>name!E$12</f>
        <v>Elementary occupations</v>
      </c>
      <c r="B255" s="278">
        <v>8.8459051119097937E-2</v>
      </c>
      <c r="C255" s="278">
        <v>2.1503788210310112E-2</v>
      </c>
      <c r="D255" s="278">
        <v>6.6180691669983763E-2</v>
      </c>
      <c r="E255" s="278">
        <f t="shared" si="112"/>
        <v>0.17614353099939181</v>
      </c>
      <c r="F255" s="279"/>
      <c r="G255" s="278">
        <v>6.5418721149506878E-2</v>
      </c>
      <c r="H255" s="278">
        <v>2.267054568525206E-2</v>
      </c>
      <c r="I255" s="278">
        <v>2.4018941257256104E-2</v>
      </c>
      <c r="J255" s="278">
        <f t="shared" si="115"/>
        <v>0.11210820809201505</v>
      </c>
      <c r="K255" s="279"/>
      <c r="L255" s="278">
        <v>5.4894517639409231E-2</v>
      </c>
      <c r="M255" s="278">
        <v>1.9691192853968757E-2</v>
      </c>
      <c r="N255" s="278">
        <v>2.9802141350980211E-2</v>
      </c>
      <c r="O255" s="278">
        <f t="shared" si="114"/>
        <v>0.1043878518443582</v>
      </c>
    </row>
    <row r="256" spans="1:15" s="212" customFormat="1">
      <c r="A256" s="213"/>
      <c r="B256" s="278"/>
      <c r="C256" s="278"/>
      <c r="D256" s="278"/>
      <c r="E256" s="278"/>
      <c r="F256" s="279"/>
      <c r="G256" s="278"/>
      <c r="H256" s="278"/>
      <c r="I256" s="278"/>
      <c r="J256" s="278"/>
      <c r="K256" s="279"/>
      <c r="L256" s="278"/>
      <c r="M256" s="278"/>
      <c r="N256" s="278"/>
      <c r="O256" s="278"/>
    </row>
    <row r="257" spans="1:15" s="212" customFormat="1">
      <c r="A257" s="220" t="s">
        <v>117</v>
      </c>
      <c r="B257" s="282">
        <f>SUM(B247:B255)</f>
        <v>7.4606158266363716</v>
      </c>
      <c r="C257" s="282">
        <f t="shared" ref="C257:E257" si="116">SUM(C247:C255)</f>
        <v>1.4280819062266905</v>
      </c>
      <c r="D257" s="282">
        <f t="shared" si="116"/>
        <v>1.3303022671369678</v>
      </c>
      <c r="E257" s="282">
        <f t="shared" si="116"/>
        <v>10.219000000000028</v>
      </c>
      <c r="F257" s="282"/>
      <c r="G257" s="282">
        <f t="shared" ref="G257:J257" si="117">SUM(G247:G255)</f>
        <v>7.6890179719534029</v>
      </c>
      <c r="H257" s="282">
        <f t="shared" si="117"/>
        <v>1.8652141906095223</v>
      </c>
      <c r="I257" s="282">
        <f t="shared" si="117"/>
        <v>0.88676783743707033</v>
      </c>
      <c r="J257" s="282">
        <f t="shared" si="117"/>
        <v>10.440999999999997</v>
      </c>
      <c r="K257" s="282"/>
      <c r="L257" s="282">
        <f t="shared" ref="L257:O257" si="118">SUM(L247:L255)</f>
        <v>7.3460029761865862</v>
      </c>
      <c r="M257" s="282">
        <f t="shared" si="118"/>
        <v>1.7842472595255054</v>
      </c>
      <c r="N257" s="282">
        <f t="shared" si="118"/>
        <v>0.92374976428791067</v>
      </c>
      <c r="O257" s="282">
        <f t="shared" si="118"/>
        <v>10.053999999999998</v>
      </c>
    </row>
    <row r="258" spans="1:15" s="212" customFormat="1">
      <c r="A258" s="213"/>
      <c r="B258" s="213"/>
      <c r="C258" s="213"/>
      <c r="D258" s="213"/>
      <c r="E258" s="213"/>
      <c r="F258" s="213"/>
      <c r="G258" s="213"/>
      <c r="H258" s="213"/>
      <c r="I258" s="213"/>
      <c r="J258" s="213"/>
      <c r="K258" s="213"/>
      <c r="L258" s="213"/>
      <c r="M258" s="213"/>
      <c r="N258" s="216"/>
    </row>
    <row r="259" spans="1:15" s="212" customFormat="1">
      <c r="A259" s="213"/>
      <c r="B259" s="213"/>
      <c r="C259" s="213"/>
      <c r="D259" s="213"/>
      <c r="E259" s="213"/>
      <c r="F259" s="213"/>
      <c r="G259" s="213"/>
      <c r="H259" s="213"/>
      <c r="I259" s="213"/>
      <c r="J259" s="213"/>
      <c r="K259" s="213"/>
      <c r="L259" s="213"/>
      <c r="M259" s="213"/>
      <c r="N259" s="216"/>
      <c r="O259" s="227" t="s">
        <v>112</v>
      </c>
    </row>
    <row r="260" spans="1:15" s="212" customFormat="1">
      <c r="A260" s="218"/>
      <c r="B260" s="218"/>
      <c r="C260" s="218"/>
      <c r="D260" s="218"/>
      <c r="E260" s="218"/>
      <c r="F260" s="218"/>
      <c r="G260" s="218"/>
      <c r="H260" s="218"/>
      <c r="I260" s="218"/>
      <c r="J260" s="218"/>
      <c r="K260" s="218"/>
      <c r="L260" s="218"/>
      <c r="M260" s="218"/>
      <c r="N260" s="218"/>
      <c r="O260" s="218"/>
    </row>
    <row r="261" spans="1:15" s="212" customFormat="1">
      <c r="A261" s="217" t="str">
        <f>name!B18</f>
        <v>Real estate</v>
      </c>
      <c r="B261" s="349">
        <f>$B$6</f>
        <v>2015</v>
      </c>
      <c r="C261" s="349"/>
      <c r="D261" s="349"/>
      <c r="E261" s="349"/>
      <c r="F261" s="239"/>
      <c r="G261" s="349">
        <f>$G$6</f>
        <v>2020</v>
      </c>
      <c r="H261" s="349"/>
      <c r="I261" s="349"/>
      <c r="J261" s="349"/>
      <c r="K261" s="239"/>
      <c r="L261" s="349">
        <f>$L$6</f>
        <v>2035</v>
      </c>
      <c r="M261" s="349"/>
      <c r="N261" s="349"/>
      <c r="O261" s="349"/>
    </row>
    <row r="262" spans="1:15" s="212" customFormat="1">
      <c r="A262" s="230"/>
      <c r="B262" s="244" t="str">
        <f>$B$7</f>
        <v>FT</v>
      </c>
      <c r="C262" s="244" t="str">
        <f>$C$7</f>
        <v>PT</v>
      </c>
      <c r="D262" s="244" t="str">
        <f>$D$7</f>
        <v>SE</v>
      </c>
      <c r="E262" s="244" t="str">
        <f>$E$7</f>
        <v>Total</v>
      </c>
      <c r="F262" s="244"/>
      <c r="G262" s="244" t="str">
        <f>$G$7</f>
        <v>FT</v>
      </c>
      <c r="H262" s="244" t="str">
        <f>$H$7</f>
        <v>PT</v>
      </c>
      <c r="I262" s="244" t="str">
        <f>$I$7</f>
        <v>SE</v>
      </c>
      <c r="J262" s="244" t="str">
        <f>$J$7</f>
        <v>Total</v>
      </c>
      <c r="K262" s="244"/>
      <c r="L262" s="244" t="str">
        <f>$L$7</f>
        <v>FT</v>
      </c>
      <c r="M262" s="244" t="str">
        <f>$M$7</f>
        <v>PT</v>
      </c>
      <c r="N262" s="244" t="str">
        <f>$N$7</f>
        <v>SE</v>
      </c>
      <c r="O262" s="244" t="str">
        <f>$O$7</f>
        <v>Total</v>
      </c>
    </row>
    <row r="263" spans="1:15" s="212" customFormat="1">
      <c r="A263" s="234"/>
      <c r="B263" s="215"/>
      <c r="C263" s="215"/>
      <c r="D263" s="215"/>
      <c r="E263" s="215"/>
      <c r="F263" s="215"/>
      <c r="G263" s="215"/>
      <c r="H263" s="215"/>
      <c r="I263" s="215"/>
      <c r="J263" s="215"/>
      <c r="K263" s="215"/>
      <c r="L263" s="215"/>
      <c r="M263" s="215"/>
      <c r="N263" s="215"/>
      <c r="O263" s="215"/>
    </row>
    <row r="264" spans="1:15" s="212" customFormat="1">
      <c r="A264" s="213" t="str">
        <f>name!E$4</f>
        <v>Managers, directors and senior officials</v>
      </c>
      <c r="B264" s="278">
        <v>0.78839172877370534</v>
      </c>
      <c r="C264" s="278">
        <v>0.1400025894570569</v>
      </c>
      <c r="D264" s="278">
        <v>0.12484978346391887</v>
      </c>
      <c r="E264" s="278">
        <f>SUM(B264:D264)</f>
        <v>1.0532441016946812</v>
      </c>
      <c r="F264" s="279"/>
      <c r="G264" s="278">
        <v>1.0894367136425673</v>
      </c>
      <c r="H264" s="278">
        <v>0.3983788518226874</v>
      </c>
      <c r="I264" s="278">
        <v>0.17645124183780742</v>
      </c>
      <c r="J264" s="278">
        <f>SUM(G264:I264)</f>
        <v>1.6642668073030622</v>
      </c>
      <c r="K264" s="279"/>
      <c r="L264" s="278">
        <v>1.1832792720902516</v>
      </c>
      <c r="M264" s="278">
        <v>0.39161456718286092</v>
      </c>
      <c r="N264" s="278">
        <v>0.19889916622311879</v>
      </c>
      <c r="O264" s="278">
        <f>SUM(L264:N264)</f>
        <v>1.7737930054962314</v>
      </c>
    </row>
    <row r="265" spans="1:15" s="212" customFormat="1">
      <c r="A265" s="213" t="str">
        <f>name!E$5</f>
        <v>Professional occupations</v>
      </c>
      <c r="B265" s="278">
        <v>0.84727041734465369</v>
      </c>
      <c r="C265" s="278">
        <v>0.15587904012264311</v>
      </c>
      <c r="D265" s="278">
        <v>9.0379438089217931E-2</v>
      </c>
      <c r="E265" s="278">
        <f t="shared" ref="E265:E272" si="119">SUM(B265:D265)</f>
        <v>1.0935288955565148</v>
      </c>
      <c r="F265" s="279"/>
      <c r="G265" s="278">
        <v>1.3025165893215727</v>
      </c>
      <c r="H265" s="278">
        <v>0.35888407648765031</v>
      </c>
      <c r="I265" s="278">
        <v>0.10364732758338323</v>
      </c>
      <c r="J265" s="278">
        <f t="shared" ref="J265:J267" si="120">SUM(G265:I265)</f>
        <v>1.765047993392606</v>
      </c>
      <c r="K265" s="279"/>
      <c r="L265" s="278">
        <v>1.6258922376330551</v>
      </c>
      <c r="M265" s="278">
        <v>0.43642592848440381</v>
      </c>
      <c r="N265" s="278">
        <v>8.655272104459806E-2</v>
      </c>
      <c r="O265" s="278">
        <f t="shared" ref="O265:O272" si="121">SUM(L265:N265)</f>
        <v>2.1488708871620568</v>
      </c>
    </row>
    <row r="266" spans="1:15" s="212" customFormat="1">
      <c r="A266" s="213" t="str">
        <f>name!E$6</f>
        <v>Associate professional occupations</v>
      </c>
      <c r="B266" s="278">
        <v>0.85933733578901272</v>
      </c>
      <c r="C266" s="278">
        <v>0.20360870211005958</v>
      </c>
      <c r="D266" s="278">
        <v>8.9875631999393787E-2</v>
      </c>
      <c r="E266" s="278">
        <f t="shared" si="119"/>
        <v>1.1528216698984661</v>
      </c>
      <c r="F266" s="279"/>
      <c r="G266" s="278">
        <v>1.1964980185630592</v>
      </c>
      <c r="H266" s="278">
        <v>0.444368029421363</v>
      </c>
      <c r="I266" s="278">
        <v>0.10195454596485011</v>
      </c>
      <c r="J266" s="278">
        <f t="shared" si="120"/>
        <v>1.7428205939492722</v>
      </c>
      <c r="K266" s="279"/>
      <c r="L266" s="278">
        <v>1.5125819091897748</v>
      </c>
      <c r="M266" s="278">
        <v>0.49323153096676331</v>
      </c>
      <c r="N266" s="278">
        <v>0.13395201907791662</v>
      </c>
      <c r="O266" s="278">
        <f t="shared" si="121"/>
        <v>2.1397654592344546</v>
      </c>
    </row>
    <row r="267" spans="1:15" s="212" customFormat="1">
      <c r="A267" s="213" t="str">
        <f>name!E$7</f>
        <v>Administrative and secretarial occupations</v>
      </c>
      <c r="B267" s="278">
        <v>0.97828030314834835</v>
      </c>
      <c r="C267" s="278">
        <v>0.827484748573869</v>
      </c>
      <c r="D267" s="278">
        <v>1.5572098511037405E-2</v>
      </c>
      <c r="E267" s="278">
        <f t="shared" si="119"/>
        <v>1.8213371502332547</v>
      </c>
      <c r="F267" s="279"/>
      <c r="G267" s="278">
        <v>1.0630176218891034</v>
      </c>
      <c r="H267" s="278">
        <v>1.0305167002591555</v>
      </c>
      <c r="I267" s="278">
        <v>1.6899770882050958E-2</v>
      </c>
      <c r="J267" s="278">
        <f t="shared" si="120"/>
        <v>2.1104340930303103</v>
      </c>
      <c r="K267" s="279"/>
      <c r="L267" s="278">
        <v>1.0392334237911967</v>
      </c>
      <c r="M267" s="278">
        <v>0.85241572177513858</v>
      </c>
      <c r="N267" s="278">
        <v>2.5265008725629222E-2</v>
      </c>
      <c r="O267" s="278">
        <f t="shared" si="121"/>
        <v>1.9169141542919643</v>
      </c>
    </row>
    <row r="268" spans="1:15" s="212" customFormat="1">
      <c r="A268" s="213" t="str">
        <f>name!E$8</f>
        <v>Skilled trades occupations</v>
      </c>
      <c r="B268" s="278">
        <v>0.15829028679076956</v>
      </c>
      <c r="C268" s="278">
        <v>4.4363802001509807E-2</v>
      </c>
      <c r="D268" s="278">
        <v>0.27098442917436816</v>
      </c>
      <c r="E268" s="278">
        <f t="shared" si="119"/>
        <v>0.47363851796664752</v>
      </c>
      <c r="F268" s="279"/>
      <c r="G268" s="278">
        <v>0.17891691408583441</v>
      </c>
      <c r="H268" s="278">
        <v>8.0475876527545814E-2</v>
      </c>
      <c r="I268" s="278">
        <v>0.21924966400785387</v>
      </c>
      <c r="J268" s="278">
        <f>SUM(G268:I268)</f>
        <v>0.47864245462123411</v>
      </c>
      <c r="K268" s="279"/>
      <c r="L268" s="278">
        <v>0.20118399125244571</v>
      </c>
      <c r="M268" s="278">
        <v>0.11772465210493641</v>
      </c>
      <c r="N268" s="278">
        <v>0.24711110202761566</v>
      </c>
      <c r="O268" s="278">
        <f t="shared" si="121"/>
        <v>0.56601974538499777</v>
      </c>
    </row>
    <row r="269" spans="1:15" s="212" customFormat="1">
      <c r="A269" s="213" t="str">
        <f>name!E$9</f>
        <v>Caring, leisure and other service occupations</v>
      </c>
      <c r="B269" s="278">
        <v>0.16891663647148961</v>
      </c>
      <c r="C269" s="278">
        <v>8.1355321897326971E-2</v>
      </c>
      <c r="D269" s="278">
        <v>4.7137696244617812E-2</v>
      </c>
      <c r="E269" s="278">
        <f t="shared" si="119"/>
        <v>0.29740965461343438</v>
      </c>
      <c r="F269" s="279"/>
      <c r="G269" s="278">
        <v>0.18527164173018162</v>
      </c>
      <c r="H269" s="278">
        <v>0.12466391938544984</v>
      </c>
      <c r="I269" s="278">
        <v>4.8186562395560843E-2</v>
      </c>
      <c r="J269" s="278">
        <f t="shared" ref="J269:J272" si="122">SUM(G269:I269)</f>
        <v>0.35812212351119233</v>
      </c>
      <c r="K269" s="279"/>
      <c r="L269" s="278">
        <v>0.22252442753537796</v>
      </c>
      <c r="M269" s="278">
        <v>0.11090592490893025</v>
      </c>
      <c r="N269" s="278">
        <v>9.7256250128420471E-2</v>
      </c>
      <c r="O269" s="278">
        <f t="shared" si="121"/>
        <v>0.43068660257272867</v>
      </c>
    </row>
    <row r="270" spans="1:15" s="212" customFormat="1">
      <c r="A270" s="213" t="str">
        <f>name!E$10</f>
        <v>Sales and customer service occupations</v>
      </c>
      <c r="B270" s="278">
        <v>0.73520880840773162</v>
      </c>
      <c r="C270" s="278">
        <v>0.36407898698486418</v>
      </c>
      <c r="D270" s="278">
        <v>4.9060198267406464E-2</v>
      </c>
      <c r="E270" s="278">
        <f t="shared" si="119"/>
        <v>1.1483479936600021</v>
      </c>
      <c r="F270" s="279"/>
      <c r="G270" s="278">
        <v>0.76373024348577023</v>
      </c>
      <c r="H270" s="278">
        <v>0.54697446835018038</v>
      </c>
      <c r="I270" s="278">
        <v>4.8742958477080225E-2</v>
      </c>
      <c r="J270" s="278">
        <f t="shared" si="122"/>
        <v>1.3594476703130307</v>
      </c>
      <c r="K270" s="279"/>
      <c r="L270" s="278">
        <v>0.81799839240270267</v>
      </c>
      <c r="M270" s="278">
        <v>0.59984261780141912</v>
      </c>
      <c r="N270" s="278">
        <v>4.5465023179435175E-2</v>
      </c>
      <c r="O270" s="278">
        <f t="shared" si="121"/>
        <v>1.4633060333835568</v>
      </c>
    </row>
    <row r="271" spans="1:15" s="212" customFormat="1">
      <c r="A271" s="213" t="str">
        <f>name!E$11</f>
        <v>Process, plant and machine operatives</v>
      </c>
      <c r="B271" s="278">
        <v>7.7402064366333914E-2</v>
      </c>
      <c r="C271" s="278">
        <v>1.0414337081757374E-2</v>
      </c>
      <c r="D271" s="278">
        <v>1.4864639616487168E-2</v>
      </c>
      <c r="E271" s="278">
        <f t="shared" si="119"/>
        <v>0.10268104106457845</v>
      </c>
      <c r="F271" s="279"/>
      <c r="G271" s="278">
        <v>8.3715504466905566E-2</v>
      </c>
      <c r="H271" s="278">
        <v>2.5819089200255052E-2</v>
      </c>
      <c r="I271" s="278">
        <v>2.1379602787598807E-2</v>
      </c>
      <c r="J271" s="278">
        <f t="shared" si="122"/>
        <v>0.13091419645475944</v>
      </c>
      <c r="K271" s="279"/>
      <c r="L271" s="278">
        <v>6.1908127528967766E-2</v>
      </c>
      <c r="M271" s="278">
        <v>2.5630675287153501E-2</v>
      </c>
      <c r="N271" s="278">
        <v>3.4490040354777013E-2</v>
      </c>
      <c r="O271" s="278">
        <f t="shared" si="121"/>
        <v>0.12202884317089828</v>
      </c>
    </row>
    <row r="272" spans="1:15" s="212" customFormat="1">
      <c r="A272" s="213" t="str">
        <f>name!E$12</f>
        <v>Elementary occupations</v>
      </c>
      <c r="B272" s="278">
        <v>0.12262557165539476</v>
      </c>
      <c r="C272" s="278">
        <v>0.11077811634885885</v>
      </c>
      <c r="D272" s="278">
        <v>0.34658728730817273</v>
      </c>
      <c r="E272" s="278">
        <f t="shared" si="119"/>
        <v>0.57999097531242638</v>
      </c>
      <c r="F272" s="279"/>
      <c r="G272" s="278">
        <v>0.13143122711092312</v>
      </c>
      <c r="H272" s="278">
        <v>0.12768784859130841</v>
      </c>
      <c r="I272" s="278">
        <v>0.37118499172230224</v>
      </c>
      <c r="J272" s="278">
        <f t="shared" si="122"/>
        <v>0.63030406742453371</v>
      </c>
      <c r="K272" s="279"/>
      <c r="L272" s="278">
        <v>0.12777133588123479</v>
      </c>
      <c r="M272" s="278">
        <v>0.10146277019772336</v>
      </c>
      <c r="N272" s="278">
        <v>0.44738116322416149</v>
      </c>
      <c r="O272" s="278">
        <f t="shared" si="121"/>
        <v>0.67661526930311966</v>
      </c>
    </row>
    <row r="273" spans="1:15" s="212" customFormat="1">
      <c r="A273" s="213"/>
      <c r="B273" s="278"/>
      <c r="C273" s="278"/>
      <c r="D273" s="278"/>
      <c r="E273" s="278"/>
      <c r="F273" s="279"/>
      <c r="G273" s="278"/>
      <c r="H273" s="278"/>
      <c r="I273" s="278"/>
      <c r="J273" s="278"/>
      <c r="K273" s="279"/>
      <c r="L273" s="278"/>
      <c r="M273" s="278"/>
      <c r="N273" s="278"/>
      <c r="O273" s="278"/>
    </row>
    <row r="274" spans="1:15" s="212" customFormat="1">
      <c r="A274" s="220" t="s">
        <v>117</v>
      </c>
      <c r="B274" s="282">
        <f>SUM(B264:B272)</f>
        <v>4.7357231527474388</v>
      </c>
      <c r="C274" s="282">
        <f t="shared" ref="C274:E274" si="123">SUM(C264:C272)</f>
        <v>1.9379656445779456</v>
      </c>
      <c r="D274" s="282">
        <f t="shared" si="123"/>
        <v>1.0493112026746203</v>
      </c>
      <c r="E274" s="282">
        <f t="shared" si="123"/>
        <v>7.7230000000000061</v>
      </c>
      <c r="F274" s="282"/>
      <c r="G274" s="282">
        <f t="shared" ref="G274:J274" si="124">SUM(G264:G272)</f>
        <v>5.994534474295917</v>
      </c>
      <c r="H274" s="282">
        <f t="shared" si="124"/>
        <v>3.137768860045596</v>
      </c>
      <c r="I274" s="282">
        <f t="shared" si="124"/>
        <v>1.1076966656584877</v>
      </c>
      <c r="J274" s="282">
        <f t="shared" si="124"/>
        <v>10.240000000000002</v>
      </c>
      <c r="K274" s="282"/>
      <c r="L274" s="282">
        <f t="shared" ref="L274:O274" si="125">SUM(L264:L272)</f>
        <v>6.792373117305007</v>
      </c>
      <c r="M274" s="282">
        <f t="shared" si="125"/>
        <v>3.1292543887093287</v>
      </c>
      <c r="N274" s="282">
        <f t="shared" si="125"/>
        <v>1.3163724939856725</v>
      </c>
      <c r="O274" s="282">
        <f t="shared" si="125"/>
        <v>11.238000000000008</v>
      </c>
    </row>
    <row r="275" spans="1:15" s="212" customFormat="1">
      <c r="A275" s="213"/>
      <c r="B275" s="213"/>
      <c r="C275" s="213"/>
      <c r="D275" s="213"/>
      <c r="E275" s="213"/>
      <c r="F275" s="213"/>
      <c r="G275" s="213"/>
      <c r="H275" s="213"/>
      <c r="I275" s="213"/>
      <c r="J275" s="213"/>
      <c r="K275" s="213"/>
      <c r="L275" s="213"/>
      <c r="M275" s="213"/>
      <c r="N275" s="216"/>
    </row>
    <row r="276" spans="1:15" s="212" customFormat="1">
      <c r="A276" s="213"/>
      <c r="B276" s="213"/>
      <c r="C276" s="213"/>
      <c r="D276" s="213"/>
      <c r="E276" s="213"/>
      <c r="F276" s="213"/>
      <c r="G276" s="213"/>
      <c r="H276" s="213"/>
      <c r="I276" s="213"/>
      <c r="J276" s="213"/>
      <c r="K276" s="213"/>
      <c r="L276" s="213"/>
      <c r="M276" s="213"/>
      <c r="N276" s="216"/>
      <c r="O276" s="227" t="s">
        <v>112</v>
      </c>
    </row>
    <row r="277" spans="1:15" s="212" customFormat="1">
      <c r="A277" s="218"/>
      <c r="B277" s="218"/>
      <c r="C277" s="218"/>
      <c r="D277" s="218"/>
      <c r="E277" s="218"/>
      <c r="F277" s="218"/>
      <c r="G277" s="218"/>
      <c r="H277" s="218"/>
      <c r="I277" s="218"/>
      <c r="J277" s="218"/>
      <c r="K277" s="218"/>
      <c r="L277" s="218"/>
      <c r="M277" s="218"/>
      <c r="N277" s="218"/>
      <c r="O277" s="218"/>
    </row>
    <row r="278" spans="1:15" s="212" customFormat="1">
      <c r="A278" s="217" t="str">
        <f>name!B19</f>
        <v>Professional services</v>
      </c>
      <c r="B278" s="349">
        <f>$B$6</f>
        <v>2015</v>
      </c>
      <c r="C278" s="349"/>
      <c r="D278" s="349"/>
      <c r="E278" s="349"/>
      <c r="F278" s="239"/>
      <c r="G278" s="349">
        <f>$G$6</f>
        <v>2020</v>
      </c>
      <c r="H278" s="349"/>
      <c r="I278" s="349"/>
      <c r="J278" s="349"/>
      <c r="K278" s="239"/>
      <c r="L278" s="349">
        <f>$L$6</f>
        <v>2035</v>
      </c>
      <c r="M278" s="349"/>
      <c r="N278" s="349"/>
      <c r="O278" s="349"/>
    </row>
    <row r="279" spans="1:15" s="212" customFormat="1">
      <c r="A279" s="230"/>
      <c r="B279" s="244" t="str">
        <f>$B$7</f>
        <v>FT</v>
      </c>
      <c r="C279" s="244" t="str">
        <f>$C$7</f>
        <v>PT</v>
      </c>
      <c r="D279" s="244" t="str">
        <f>$D$7</f>
        <v>SE</v>
      </c>
      <c r="E279" s="244" t="str">
        <f>$E$7</f>
        <v>Total</v>
      </c>
      <c r="F279" s="244"/>
      <c r="G279" s="244" t="str">
        <f>$G$7</f>
        <v>FT</v>
      </c>
      <c r="H279" s="244" t="str">
        <f>$H$7</f>
        <v>PT</v>
      </c>
      <c r="I279" s="244" t="str">
        <f>$I$7</f>
        <v>SE</v>
      </c>
      <c r="J279" s="244" t="str">
        <f>$J$7</f>
        <v>Total</v>
      </c>
      <c r="K279" s="244"/>
      <c r="L279" s="244" t="str">
        <f>$L$7</f>
        <v>FT</v>
      </c>
      <c r="M279" s="244" t="str">
        <f>$M$7</f>
        <v>PT</v>
      </c>
      <c r="N279" s="244" t="str">
        <f>$N$7</f>
        <v>SE</v>
      </c>
      <c r="O279" s="244" t="str">
        <f>$O$7</f>
        <v>Total</v>
      </c>
    </row>
    <row r="280" spans="1:15" s="212" customFormat="1">
      <c r="A280" s="234"/>
      <c r="B280" s="215"/>
      <c r="C280" s="215"/>
      <c r="D280" s="215"/>
      <c r="E280" s="215"/>
      <c r="F280" s="215"/>
      <c r="G280" s="215"/>
      <c r="H280" s="215"/>
      <c r="I280" s="215"/>
      <c r="J280" s="215"/>
      <c r="K280" s="215"/>
      <c r="L280" s="215"/>
      <c r="M280" s="215"/>
      <c r="N280" s="215"/>
      <c r="O280" s="215"/>
    </row>
    <row r="281" spans="1:15" s="212" customFormat="1">
      <c r="A281" s="213" t="str">
        <f>name!E$4</f>
        <v>Managers, directors and senior officials</v>
      </c>
      <c r="B281" s="278">
        <v>2.2418726905047994</v>
      </c>
      <c r="C281" s="278">
        <v>0.42718022111744558</v>
      </c>
      <c r="D281" s="278">
        <v>0.46725734241992256</v>
      </c>
      <c r="E281" s="278">
        <f>SUM(B281:D281)</f>
        <v>3.1363102540421677</v>
      </c>
      <c r="F281" s="279"/>
      <c r="G281" s="278">
        <v>1.8241664019276522</v>
      </c>
      <c r="H281" s="278">
        <v>0.48874471431472788</v>
      </c>
      <c r="I281" s="278">
        <v>0.60739768638643199</v>
      </c>
      <c r="J281" s="278">
        <f>SUM(G281:I281)</f>
        <v>2.9203088026288118</v>
      </c>
      <c r="K281" s="279"/>
      <c r="L281" s="278">
        <v>1.6616950255871659</v>
      </c>
      <c r="M281" s="278">
        <v>0.649397417406537</v>
      </c>
      <c r="N281" s="278">
        <v>0.72656193144314862</v>
      </c>
      <c r="O281" s="278">
        <f>SUM(L281:N281)</f>
        <v>3.0376543744368516</v>
      </c>
    </row>
    <row r="282" spans="1:15" s="212" customFormat="1">
      <c r="A282" s="213" t="str">
        <f>name!E$5</f>
        <v>Professional occupations</v>
      </c>
      <c r="B282" s="278">
        <v>6.1092824890408686</v>
      </c>
      <c r="C282" s="278">
        <v>0.76280196116124976</v>
      </c>
      <c r="D282" s="278">
        <v>2.1647529627849287</v>
      </c>
      <c r="E282" s="278">
        <f t="shared" ref="E282:E289" si="126">SUM(B282:D282)</f>
        <v>9.0368374129870475</v>
      </c>
      <c r="F282" s="279"/>
      <c r="G282" s="278">
        <v>5.8401023575026141</v>
      </c>
      <c r="H282" s="278">
        <v>0.86408338185862865</v>
      </c>
      <c r="I282" s="278">
        <v>2.5876367610239108</v>
      </c>
      <c r="J282" s="278">
        <f t="shared" ref="J282:J284" si="127">SUM(G282:I282)</f>
        <v>9.2918225003851536</v>
      </c>
      <c r="K282" s="279"/>
      <c r="L282" s="278">
        <v>7.1023677052081409</v>
      </c>
      <c r="M282" s="278">
        <v>1.0977199927342867</v>
      </c>
      <c r="N282" s="278">
        <v>2.5371753150833936</v>
      </c>
      <c r="O282" s="278">
        <f t="shared" ref="O282:O289" si="128">SUM(L282:N282)</f>
        <v>10.737263013025821</v>
      </c>
    </row>
    <row r="283" spans="1:15" s="212" customFormat="1">
      <c r="A283" s="213" t="str">
        <f>name!E$6</f>
        <v>Associate professional occupations</v>
      </c>
      <c r="B283" s="278">
        <v>3.4796586414213015</v>
      </c>
      <c r="C283" s="278">
        <v>0.73997708546142305</v>
      </c>
      <c r="D283" s="278">
        <v>1.0063941517842903</v>
      </c>
      <c r="E283" s="278">
        <f t="shared" si="126"/>
        <v>5.2260298786670152</v>
      </c>
      <c r="F283" s="279"/>
      <c r="G283" s="278">
        <v>2.9236609364492243</v>
      </c>
      <c r="H283" s="278">
        <v>0.69985176305469832</v>
      </c>
      <c r="I283" s="278">
        <v>0.98725656492730307</v>
      </c>
      <c r="J283" s="278">
        <f t="shared" si="127"/>
        <v>4.6107692644312257</v>
      </c>
      <c r="K283" s="279"/>
      <c r="L283" s="278">
        <v>3.0369783021494996</v>
      </c>
      <c r="M283" s="278">
        <v>0.83014652363131203</v>
      </c>
      <c r="N283" s="278">
        <v>1.1719393673083673</v>
      </c>
      <c r="O283" s="278">
        <f t="shared" si="128"/>
        <v>5.0390641930891791</v>
      </c>
    </row>
    <row r="284" spans="1:15" s="212" customFormat="1">
      <c r="A284" s="213" t="str">
        <f>name!E$7</f>
        <v>Administrative and secretarial occupations</v>
      </c>
      <c r="B284" s="278">
        <v>3.5517437027654268</v>
      </c>
      <c r="C284" s="278">
        <v>2.8139826509283328</v>
      </c>
      <c r="D284" s="278">
        <v>0.66836016594109326</v>
      </c>
      <c r="E284" s="278">
        <f t="shared" si="126"/>
        <v>7.0340865196348528</v>
      </c>
      <c r="F284" s="279"/>
      <c r="G284" s="278">
        <v>2.4505990466329193</v>
      </c>
      <c r="H284" s="278">
        <v>2.1504975671258615</v>
      </c>
      <c r="I284" s="278">
        <v>0.40149697966227643</v>
      </c>
      <c r="J284" s="278">
        <f t="shared" si="127"/>
        <v>5.0025935934210572</v>
      </c>
      <c r="K284" s="279"/>
      <c r="L284" s="278">
        <v>2.3310027194257885</v>
      </c>
      <c r="M284" s="278">
        <v>2.1401699153359561</v>
      </c>
      <c r="N284" s="278">
        <v>0.44486733269038459</v>
      </c>
      <c r="O284" s="278">
        <f t="shared" si="128"/>
        <v>4.9160399674521296</v>
      </c>
    </row>
    <row r="285" spans="1:15" s="212" customFormat="1">
      <c r="A285" s="213" t="str">
        <f>name!E$8</f>
        <v>Skilled trades occupations</v>
      </c>
      <c r="B285" s="278">
        <v>0.40338711088366158</v>
      </c>
      <c r="C285" s="278">
        <v>0.11352173559452376</v>
      </c>
      <c r="D285" s="278">
        <v>0.13621727691247479</v>
      </c>
      <c r="E285" s="278">
        <f t="shared" si="126"/>
        <v>0.65312612339066012</v>
      </c>
      <c r="F285" s="279"/>
      <c r="G285" s="278">
        <v>0.24156032740750835</v>
      </c>
      <c r="H285" s="278">
        <v>5.3910088598635053E-2</v>
      </c>
      <c r="I285" s="278">
        <v>0.13348836045776652</v>
      </c>
      <c r="J285" s="278">
        <f>SUM(G285:I285)</f>
        <v>0.42895877646390995</v>
      </c>
      <c r="K285" s="279"/>
      <c r="L285" s="278">
        <v>0.18073649426546329</v>
      </c>
      <c r="M285" s="278">
        <v>6.7509539774276442E-2</v>
      </c>
      <c r="N285" s="278">
        <v>0.15327665710595384</v>
      </c>
      <c r="O285" s="278">
        <f t="shared" si="128"/>
        <v>0.40152269114569356</v>
      </c>
    </row>
    <row r="286" spans="1:15" s="212" customFormat="1">
      <c r="A286" s="213" t="str">
        <f>name!E$9</f>
        <v>Caring, leisure and other service occupations</v>
      </c>
      <c r="B286" s="278">
        <v>0.21145971847017014</v>
      </c>
      <c r="C286" s="278">
        <v>0.10096468374405654</v>
      </c>
      <c r="D286" s="278">
        <v>0.16893507833586915</v>
      </c>
      <c r="E286" s="278">
        <f t="shared" si="126"/>
        <v>0.48135948055009581</v>
      </c>
      <c r="F286" s="279"/>
      <c r="G286" s="278">
        <v>0.1941485715322826</v>
      </c>
      <c r="H286" s="278">
        <v>0.1315274494446437</v>
      </c>
      <c r="I286" s="278">
        <v>0.13821282869475066</v>
      </c>
      <c r="J286" s="278">
        <f t="shared" ref="J286:J289" si="129">SUM(G286:I286)</f>
        <v>0.46388884967167693</v>
      </c>
      <c r="K286" s="279"/>
      <c r="L286" s="278">
        <v>0.21567571814849981</v>
      </c>
      <c r="M286" s="278">
        <v>0.15441772138303464</v>
      </c>
      <c r="N286" s="278">
        <v>0.21829036119621684</v>
      </c>
      <c r="O286" s="278">
        <f t="shared" si="128"/>
        <v>0.58838380072775132</v>
      </c>
    </row>
    <row r="287" spans="1:15" s="212" customFormat="1">
      <c r="A287" s="213" t="str">
        <f>name!E$10</f>
        <v>Sales and customer service occupations</v>
      </c>
      <c r="B287" s="278">
        <v>0.75330578500661183</v>
      </c>
      <c r="C287" s="278">
        <v>0.51594213256863086</v>
      </c>
      <c r="D287" s="278">
        <v>0.18497440281534516</v>
      </c>
      <c r="E287" s="278">
        <f t="shared" si="126"/>
        <v>1.454222320390588</v>
      </c>
      <c r="F287" s="279"/>
      <c r="G287" s="278">
        <v>0.49141191976039172</v>
      </c>
      <c r="H287" s="278">
        <v>0.39194561655473226</v>
      </c>
      <c r="I287" s="278">
        <v>0.11437721123682278</v>
      </c>
      <c r="J287" s="278">
        <f t="shared" si="129"/>
        <v>0.9977347475519468</v>
      </c>
      <c r="K287" s="279"/>
      <c r="L287" s="278">
        <v>0.51260010320505511</v>
      </c>
      <c r="M287" s="278">
        <v>0.50428408597389507</v>
      </c>
      <c r="N287" s="278">
        <v>0.10472950055841194</v>
      </c>
      <c r="O287" s="278">
        <f t="shared" si="128"/>
        <v>1.1216136897373621</v>
      </c>
    </row>
    <row r="288" spans="1:15" s="212" customFormat="1">
      <c r="A288" s="213" t="str">
        <f>name!E$11</f>
        <v>Process, plant and machine operatives</v>
      </c>
      <c r="B288" s="278">
        <v>0.23401924960981552</v>
      </c>
      <c r="C288" s="278">
        <v>7.9285076260820417E-2</v>
      </c>
      <c r="D288" s="278">
        <v>4.9188300493273843E-2</v>
      </c>
      <c r="E288" s="278">
        <f t="shared" si="126"/>
        <v>0.36249262636390978</v>
      </c>
      <c r="F288" s="279"/>
      <c r="G288" s="278">
        <v>0.12817210352859229</v>
      </c>
      <c r="H288" s="278">
        <v>5.4894855794495628E-2</v>
      </c>
      <c r="I288" s="278">
        <v>6.3554961808718197E-2</v>
      </c>
      <c r="J288" s="278">
        <f t="shared" si="129"/>
        <v>0.24662192113180612</v>
      </c>
      <c r="K288" s="279"/>
      <c r="L288" s="278">
        <v>8.0925879566992709E-2</v>
      </c>
      <c r="M288" s="278">
        <v>6.0398794863993174E-2</v>
      </c>
      <c r="N288" s="278">
        <v>8.5766815419467485E-2</v>
      </c>
      <c r="O288" s="278">
        <f t="shared" si="128"/>
        <v>0.22709148985045338</v>
      </c>
    </row>
    <row r="289" spans="1:15" s="212" customFormat="1">
      <c r="A289" s="213" t="str">
        <f>name!E$12</f>
        <v>Elementary occupations</v>
      </c>
      <c r="B289" s="278">
        <v>0.44116410328843125</v>
      </c>
      <c r="C289" s="278">
        <v>0.23902283672628927</v>
      </c>
      <c r="D289" s="278">
        <v>0.52734844395892855</v>
      </c>
      <c r="E289" s="278">
        <f t="shared" si="126"/>
        <v>1.2075353839736489</v>
      </c>
      <c r="F289" s="279"/>
      <c r="G289" s="278">
        <v>0.25124814450547889</v>
      </c>
      <c r="H289" s="278">
        <v>0.17521099056804504</v>
      </c>
      <c r="I289" s="278">
        <v>0.33984240924085968</v>
      </c>
      <c r="J289" s="278">
        <f t="shared" si="129"/>
        <v>0.76630154431438369</v>
      </c>
      <c r="K289" s="279"/>
      <c r="L289" s="278">
        <v>0.17355145532840699</v>
      </c>
      <c r="M289" s="278">
        <v>0.1578151152895268</v>
      </c>
      <c r="N289" s="278">
        <v>0.49300020991686505</v>
      </c>
      <c r="O289" s="278">
        <f t="shared" si="128"/>
        <v>0.82436678053479884</v>
      </c>
    </row>
    <row r="290" spans="1:15" s="212" customFormat="1">
      <c r="A290" s="213"/>
      <c r="B290" s="278"/>
      <c r="C290" s="278"/>
      <c r="D290" s="278"/>
      <c r="E290" s="278"/>
      <c r="F290" s="279"/>
      <c r="G290" s="278"/>
      <c r="H290" s="278"/>
      <c r="I290" s="278"/>
      <c r="J290" s="278"/>
      <c r="K290" s="279"/>
      <c r="L290" s="278"/>
      <c r="M290" s="278"/>
      <c r="N290" s="278"/>
      <c r="O290" s="278"/>
    </row>
    <row r="291" spans="1:15" s="212" customFormat="1">
      <c r="A291" s="220" t="s">
        <v>117</v>
      </c>
      <c r="B291" s="282">
        <f>SUM(B281:B289)</f>
        <v>17.42589349099109</v>
      </c>
      <c r="C291" s="282">
        <f t="shared" ref="C291:E291" si="130">SUM(C281:C289)</f>
        <v>5.7926783835627713</v>
      </c>
      <c r="D291" s="282">
        <f t="shared" si="130"/>
        <v>5.3734281254461251</v>
      </c>
      <c r="E291" s="282">
        <f t="shared" si="130"/>
        <v>28.591999999999992</v>
      </c>
      <c r="F291" s="282"/>
      <c r="G291" s="282">
        <f t="shared" ref="G291:J291" si="131">SUM(G281:G289)</f>
        <v>14.345069809246663</v>
      </c>
      <c r="H291" s="282">
        <f t="shared" si="131"/>
        <v>5.0106664273144679</v>
      </c>
      <c r="I291" s="282">
        <f t="shared" si="131"/>
        <v>5.3732637634388398</v>
      </c>
      <c r="J291" s="282">
        <f t="shared" si="131"/>
        <v>24.728999999999971</v>
      </c>
      <c r="K291" s="282"/>
      <c r="L291" s="282">
        <f t="shared" ref="L291:O291" si="132">SUM(L281:L289)</f>
        <v>15.295533402885011</v>
      </c>
      <c r="M291" s="282">
        <f t="shared" si="132"/>
        <v>5.6618591063928179</v>
      </c>
      <c r="N291" s="282">
        <f t="shared" si="132"/>
        <v>5.9356074907222087</v>
      </c>
      <c r="O291" s="282">
        <f t="shared" si="132"/>
        <v>26.89300000000004</v>
      </c>
    </row>
    <row r="292" spans="1:15" s="212" customFormat="1">
      <c r="A292" s="213"/>
      <c r="B292" s="213"/>
      <c r="C292" s="213"/>
      <c r="D292" s="213"/>
      <c r="E292" s="213"/>
      <c r="F292" s="213"/>
      <c r="G292" s="213"/>
      <c r="H292" s="213"/>
      <c r="I292" s="213"/>
      <c r="J292" s="213"/>
      <c r="K292" s="213"/>
      <c r="L292" s="213"/>
      <c r="M292" s="213"/>
      <c r="N292" s="216"/>
    </row>
    <row r="293" spans="1:15" s="212" customFormat="1">
      <c r="A293" s="213"/>
      <c r="B293" s="213"/>
      <c r="C293" s="213"/>
      <c r="D293" s="213"/>
      <c r="E293" s="213"/>
      <c r="F293" s="213"/>
      <c r="G293" s="213"/>
      <c r="H293" s="213"/>
      <c r="I293" s="213"/>
      <c r="J293" s="213"/>
      <c r="K293" s="213"/>
      <c r="L293" s="213"/>
      <c r="M293" s="213"/>
      <c r="N293" s="216"/>
      <c r="O293" s="227" t="s">
        <v>112</v>
      </c>
    </row>
    <row r="294" spans="1:15" s="212" customFormat="1">
      <c r="A294" s="218"/>
      <c r="B294" s="218"/>
      <c r="C294" s="218"/>
      <c r="D294" s="218"/>
      <c r="E294" s="218"/>
      <c r="F294" s="218"/>
      <c r="G294" s="218"/>
      <c r="H294" s="218"/>
      <c r="I294" s="218"/>
      <c r="J294" s="218"/>
      <c r="K294" s="218"/>
      <c r="L294" s="218"/>
      <c r="M294" s="218"/>
      <c r="N294" s="218"/>
      <c r="O294" s="218"/>
    </row>
    <row r="295" spans="1:15" s="212" customFormat="1">
      <c r="A295" s="217" t="str">
        <f>name!B20</f>
        <v>Support services</v>
      </c>
      <c r="B295" s="349">
        <f>$B$6</f>
        <v>2015</v>
      </c>
      <c r="C295" s="349"/>
      <c r="D295" s="349"/>
      <c r="E295" s="349"/>
      <c r="F295" s="239"/>
      <c r="G295" s="349">
        <f>$G$6</f>
        <v>2020</v>
      </c>
      <c r="H295" s="349"/>
      <c r="I295" s="349"/>
      <c r="J295" s="349"/>
      <c r="K295" s="239"/>
      <c r="L295" s="349">
        <f>$L$6</f>
        <v>2035</v>
      </c>
      <c r="M295" s="349"/>
      <c r="N295" s="349"/>
      <c r="O295" s="349"/>
    </row>
    <row r="296" spans="1:15" s="212" customFormat="1">
      <c r="A296" s="230"/>
      <c r="B296" s="244" t="str">
        <f>$B$7</f>
        <v>FT</v>
      </c>
      <c r="C296" s="244" t="str">
        <f>$C$7</f>
        <v>PT</v>
      </c>
      <c r="D296" s="244" t="str">
        <f>$D$7</f>
        <v>SE</v>
      </c>
      <c r="E296" s="244" t="str">
        <f>$E$7</f>
        <v>Total</v>
      </c>
      <c r="F296" s="244"/>
      <c r="G296" s="244" t="str">
        <f>$G$7</f>
        <v>FT</v>
      </c>
      <c r="H296" s="244" t="str">
        <f>$H$7</f>
        <v>PT</v>
      </c>
      <c r="I296" s="244" t="str">
        <f>$I$7</f>
        <v>SE</v>
      </c>
      <c r="J296" s="244" t="str">
        <f>$J$7</f>
        <v>Total</v>
      </c>
      <c r="K296" s="244"/>
      <c r="L296" s="244" t="str">
        <f>$L$7</f>
        <v>FT</v>
      </c>
      <c r="M296" s="244" t="str">
        <f>$M$7</f>
        <v>PT</v>
      </c>
      <c r="N296" s="244" t="str">
        <f>$N$7</f>
        <v>SE</v>
      </c>
      <c r="O296" s="244" t="str">
        <f>$O$7</f>
        <v>Total</v>
      </c>
    </row>
    <row r="297" spans="1:15" s="212" customFormat="1">
      <c r="A297" s="234"/>
      <c r="B297" s="215"/>
      <c r="C297" s="215"/>
      <c r="D297" s="215"/>
      <c r="E297" s="215"/>
      <c r="F297" s="215"/>
      <c r="G297" s="215"/>
      <c r="H297" s="215"/>
      <c r="I297" s="215"/>
      <c r="J297" s="215"/>
      <c r="K297" s="215"/>
      <c r="L297" s="215"/>
      <c r="M297" s="215"/>
      <c r="N297" s="215"/>
      <c r="O297" s="215"/>
    </row>
    <row r="298" spans="1:15" s="212" customFormat="1">
      <c r="A298" s="213" t="str">
        <f>name!E$4</f>
        <v>Managers, directors and senior officials</v>
      </c>
      <c r="B298" s="278">
        <v>2.173560800766404</v>
      </c>
      <c r="C298" s="278">
        <v>0.50052469008993472</v>
      </c>
      <c r="D298" s="278">
        <v>0.19511789048248385</v>
      </c>
      <c r="E298" s="278">
        <f>SUM(B298:D298)</f>
        <v>2.8692033813388225</v>
      </c>
      <c r="F298" s="279"/>
      <c r="G298" s="278">
        <v>2.0474747684347325</v>
      </c>
      <c r="H298" s="278">
        <v>0.51867401585755057</v>
      </c>
      <c r="I298" s="278">
        <v>0.10863699790264465</v>
      </c>
      <c r="J298" s="278">
        <f>SUM(G298:I298)</f>
        <v>2.6747857821949279</v>
      </c>
      <c r="K298" s="279"/>
      <c r="L298" s="278">
        <v>2.0732528432711925</v>
      </c>
      <c r="M298" s="278">
        <v>0.519562245027124</v>
      </c>
      <c r="N298" s="278">
        <v>9.9033572569038386E-2</v>
      </c>
      <c r="O298" s="278">
        <f>SUM(L298:N298)</f>
        <v>2.6918486608673549</v>
      </c>
    </row>
    <row r="299" spans="1:15" s="212" customFormat="1">
      <c r="A299" s="213" t="str">
        <f>name!E$5</f>
        <v>Professional occupations</v>
      </c>
      <c r="B299" s="278">
        <v>2.5262806167495357</v>
      </c>
      <c r="C299" s="278">
        <v>0.79036552063426824</v>
      </c>
      <c r="D299" s="278">
        <v>0.25165056150917625</v>
      </c>
      <c r="E299" s="278">
        <f t="shared" ref="E299:E306" si="133">SUM(B299:D299)</f>
        <v>3.5682966988929801</v>
      </c>
      <c r="F299" s="279"/>
      <c r="G299" s="278">
        <v>2.7320994498125604</v>
      </c>
      <c r="H299" s="278">
        <v>0.82657068284800406</v>
      </c>
      <c r="I299" s="278">
        <v>0.12130927174593924</v>
      </c>
      <c r="J299" s="278">
        <f t="shared" ref="J299:J301" si="134">SUM(G299:I299)</f>
        <v>3.6799794044065037</v>
      </c>
      <c r="K299" s="279"/>
      <c r="L299" s="278">
        <v>3.6590619802836808</v>
      </c>
      <c r="M299" s="278">
        <v>1.0650125760093208</v>
      </c>
      <c r="N299" s="278">
        <v>9.2216184856475494E-2</v>
      </c>
      <c r="O299" s="278">
        <f t="shared" ref="O299:O306" si="135">SUM(L299:N299)</f>
        <v>4.8162907411494773</v>
      </c>
    </row>
    <row r="300" spans="1:15" s="212" customFormat="1">
      <c r="A300" s="213" t="str">
        <f>name!E$6</f>
        <v>Associate professional occupations</v>
      </c>
      <c r="B300" s="278">
        <v>3.5694069763724627</v>
      </c>
      <c r="C300" s="278">
        <v>1.1031020604611292</v>
      </c>
      <c r="D300" s="278">
        <v>0.57584091659924741</v>
      </c>
      <c r="E300" s="278">
        <f t="shared" si="133"/>
        <v>5.2483499534328395</v>
      </c>
      <c r="F300" s="279"/>
      <c r="G300" s="278">
        <v>3.4646694536532174</v>
      </c>
      <c r="H300" s="278">
        <v>0.99389267174229945</v>
      </c>
      <c r="I300" s="278">
        <v>0.28822197209958289</v>
      </c>
      <c r="J300" s="278">
        <f t="shared" si="134"/>
        <v>4.7467840974950999</v>
      </c>
      <c r="K300" s="279"/>
      <c r="L300" s="278">
        <v>3.7096358362534572</v>
      </c>
      <c r="M300" s="278">
        <v>1.2360394407368622</v>
      </c>
      <c r="N300" s="278">
        <v>0.26042774753940845</v>
      </c>
      <c r="O300" s="278">
        <f t="shared" si="135"/>
        <v>5.2061030245297273</v>
      </c>
    </row>
    <row r="301" spans="1:15" s="212" customFormat="1">
      <c r="A301" s="213" t="str">
        <f>name!E$7</f>
        <v>Administrative and secretarial occupations</v>
      </c>
      <c r="B301" s="278">
        <v>3.4581702446862974</v>
      </c>
      <c r="C301" s="278">
        <v>2.6213344085702999</v>
      </c>
      <c r="D301" s="278">
        <v>5.018632648920969E-2</v>
      </c>
      <c r="E301" s="278">
        <f t="shared" si="133"/>
        <v>6.1296909797458072</v>
      </c>
      <c r="F301" s="279"/>
      <c r="G301" s="278">
        <v>3.0147037533842642</v>
      </c>
      <c r="H301" s="278">
        <v>2.0572114948098981</v>
      </c>
      <c r="I301" s="278">
        <v>2.4466137236728809E-2</v>
      </c>
      <c r="J301" s="278">
        <f t="shared" si="134"/>
        <v>5.0963813854308917</v>
      </c>
      <c r="K301" s="279"/>
      <c r="L301" s="278">
        <v>3.4041259683835241</v>
      </c>
      <c r="M301" s="278">
        <v>2.1599400722391291</v>
      </c>
      <c r="N301" s="278">
        <v>2.4215367693973418E-2</v>
      </c>
      <c r="O301" s="278">
        <f t="shared" si="135"/>
        <v>5.588281408316627</v>
      </c>
    </row>
    <row r="302" spans="1:15" s="212" customFormat="1">
      <c r="A302" s="213" t="str">
        <f>name!E$8</f>
        <v>Skilled trades occupations</v>
      </c>
      <c r="B302" s="278">
        <v>0.55558987018704808</v>
      </c>
      <c r="C302" s="278">
        <v>0.34578929476721804</v>
      </c>
      <c r="D302" s="278">
        <v>0.28321328498875065</v>
      </c>
      <c r="E302" s="278">
        <f t="shared" si="133"/>
        <v>1.1845924499430169</v>
      </c>
      <c r="F302" s="279"/>
      <c r="G302" s="278">
        <v>0.3718606523396446</v>
      </c>
      <c r="H302" s="278">
        <v>0.17517518089224768</v>
      </c>
      <c r="I302" s="278">
        <v>0.10271561376120036</v>
      </c>
      <c r="J302" s="278">
        <f>SUM(G302:I302)</f>
        <v>0.64975144699309273</v>
      </c>
      <c r="K302" s="279"/>
      <c r="L302" s="278">
        <v>0.33995117060070651</v>
      </c>
      <c r="M302" s="278">
        <v>0.24236159451633649</v>
      </c>
      <c r="N302" s="278">
        <v>8.1609883744765965E-2</v>
      </c>
      <c r="O302" s="278">
        <f t="shared" si="135"/>
        <v>0.66392264886180896</v>
      </c>
    </row>
    <row r="303" spans="1:15" s="212" customFormat="1">
      <c r="A303" s="213" t="str">
        <f>name!E$9</f>
        <v>Caring, leisure and other service occupations</v>
      </c>
      <c r="B303" s="278">
        <v>1.3603131405705324</v>
      </c>
      <c r="C303" s="278">
        <v>1.5693302922317378</v>
      </c>
      <c r="D303" s="278">
        <v>0.18115562683700187</v>
      </c>
      <c r="E303" s="278">
        <f t="shared" si="133"/>
        <v>3.1107990596392718</v>
      </c>
      <c r="F303" s="279"/>
      <c r="G303" s="278">
        <v>1.1831252549760216</v>
      </c>
      <c r="H303" s="278">
        <v>1.2375281046070494</v>
      </c>
      <c r="I303" s="278">
        <v>0.14314821075354403</v>
      </c>
      <c r="J303" s="278">
        <f t="shared" ref="J303:J306" si="136">SUM(G303:I303)</f>
        <v>2.563801570336615</v>
      </c>
      <c r="K303" s="279"/>
      <c r="L303" s="278">
        <v>1.4778928589931615</v>
      </c>
      <c r="M303" s="278">
        <v>1.3422582618874648</v>
      </c>
      <c r="N303" s="278">
        <v>0.22532187125672148</v>
      </c>
      <c r="O303" s="278">
        <f t="shared" si="135"/>
        <v>3.045472992137348</v>
      </c>
    </row>
    <row r="304" spans="1:15" s="212" customFormat="1">
      <c r="A304" s="213" t="str">
        <f>name!E$10</f>
        <v>Sales and customer service occupations</v>
      </c>
      <c r="B304" s="278">
        <v>2.3965894804459786</v>
      </c>
      <c r="C304" s="278">
        <v>1.6823545488949165</v>
      </c>
      <c r="D304" s="278">
        <v>0.1180623170252892</v>
      </c>
      <c r="E304" s="278">
        <f t="shared" si="133"/>
        <v>4.1970063463661837</v>
      </c>
      <c r="F304" s="279"/>
      <c r="G304" s="278">
        <v>1.9691692222949186</v>
      </c>
      <c r="H304" s="278">
        <v>1.2060686855276666</v>
      </c>
      <c r="I304" s="278">
        <v>4.6514949899650992E-2</v>
      </c>
      <c r="J304" s="278">
        <f t="shared" si="136"/>
        <v>3.2217528577222363</v>
      </c>
      <c r="K304" s="279"/>
      <c r="L304" s="278">
        <v>2.1428165912642969</v>
      </c>
      <c r="M304" s="278">
        <v>1.8244373163109828</v>
      </c>
      <c r="N304" s="278">
        <v>3.6856041222083573E-2</v>
      </c>
      <c r="O304" s="278">
        <f t="shared" si="135"/>
        <v>4.004109948797363</v>
      </c>
    </row>
    <row r="305" spans="1:15" s="212" customFormat="1">
      <c r="A305" s="213" t="str">
        <f>name!E$11</f>
        <v>Process, plant and machine operatives</v>
      </c>
      <c r="B305" s="278">
        <v>1.104259310245048</v>
      </c>
      <c r="C305" s="278">
        <v>0.77688072643972061</v>
      </c>
      <c r="D305" s="278">
        <v>9.1088740677898322E-2</v>
      </c>
      <c r="E305" s="278">
        <f t="shared" si="133"/>
        <v>1.972228777362667</v>
      </c>
      <c r="F305" s="279"/>
      <c r="G305" s="278">
        <v>0.70358023320829688</v>
      </c>
      <c r="H305" s="278">
        <v>0.52101430630561674</v>
      </c>
      <c r="I305" s="278">
        <v>5.1548920427878703E-2</v>
      </c>
      <c r="J305" s="278">
        <f t="shared" si="136"/>
        <v>1.2761434599417925</v>
      </c>
      <c r="K305" s="279"/>
      <c r="L305" s="278">
        <v>0.56431558460466058</v>
      </c>
      <c r="M305" s="278">
        <v>0.50094665737600497</v>
      </c>
      <c r="N305" s="278">
        <v>6.2179400693079624E-2</v>
      </c>
      <c r="O305" s="278">
        <f t="shared" si="135"/>
        <v>1.127441642673745</v>
      </c>
    </row>
    <row r="306" spans="1:15" s="212" customFormat="1">
      <c r="A306" s="213" t="str">
        <f>name!E$12</f>
        <v>Elementary occupations</v>
      </c>
      <c r="B306" s="278">
        <v>4.9125775871655604</v>
      </c>
      <c r="C306" s="278">
        <v>4.6767091089240784</v>
      </c>
      <c r="D306" s="278">
        <v>2.371545657188785</v>
      </c>
      <c r="E306" s="278">
        <f t="shared" si="133"/>
        <v>11.960832353278423</v>
      </c>
      <c r="F306" s="279"/>
      <c r="G306" s="278">
        <v>3.5366796000319556</v>
      </c>
      <c r="H306" s="278">
        <v>2.9645991678802348</v>
      </c>
      <c r="I306" s="278">
        <v>1.7573412275666738</v>
      </c>
      <c r="J306" s="278">
        <f t="shared" si="136"/>
        <v>8.2586199954788633</v>
      </c>
      <c r="K306" s="279"/>
      <c r="L306" s="278">
        <v>4.1096902116555061</v>
      </c>
      <c r="M306" s="278">
        <v>2.3965089404269384</v>
      </c>
      <c r="N306" s="278">
        <v>2.0333297805840833</v>
      </c>
      <c r="O306" s="278">
        <f t="shared" si="135"/>
        <v>8.5395289326665278</v>
      </c>
    </row>
    <row r="307" spans="1:15" s="212" customFormat="1">
      <c r="A307" s="213"/>
      <c r="B307" s="278"/>
      <c r="C307" s="278"/>
      <c r="D307" s="278"/>
      <c r="E307" s="278"/>
      <c r="F307" s="279"/>
      <c r="G307" s="278"/>
      <c r="H307" s="278"/>
      <c r="I307" s="278"/>
      <c r="J307" s="278"/>
      <c r="K307" s="279"/>
      <c r="L307" s="278"/>
      <c r="M307" s="278"/>
      <c r="N307" s="278"/>
      <c r="O307" s="278"/>
    </row>
    <row r="308" spans="1:15" s="212" customFormat="1">
      <c r="A308" s="220" t="s">
        <v>117</v>
      </c>
      <c r="B308" s="282">
        <f>SUM(B298:B306)</f>
        <v>22.056748027188867</v>
      </c>
      <c r="C308" s="282">
        <f t="shared" ref="C308:E308" si="137">SUM(C298:C306)</f>
        <v>14.066390651013304</v>
      </c>
      <c r="D308" s="282">
        <f t="shared" si="137"/>
        <v>4.1178613217978421</v>
      </c>
      <c r="E308" s="282">
        <f t="shared" si="137"/>
        <v>40.241000000000014</v>
      </c>
      <c r="F308" s="282"/>
      <c r="G308" s="282">
        <f t="shared" ref="G308:J308" si="138">SUM(G298:G306)</f>
        <v>19.023362388135613</v>
      </c>
      <c r="H308" s="282">
        <f t="shared" si="138"/>
        <v>10.500734310470566</v>
      </c>
      <c r="I308" s="282">
        <f t="shared" si="138"/>
        <v>2.6439033013938436</v>
      </c>
      <c r="J308" s="282">
        <f t="shared" si="138"/>
        <v>32.168000000000021</v>
      </c>
      <c r="K308" s="282"/>
      <c r="L308" s="282">
        <f t="shared" ref="L308:O308" si="139">SUM(L298:L306)</f>
        <v>21.480743045310184</v>
      </c>
      <c r="M308" s="282">
        <f t="shared" si="139"/>
        <v>11.287067104530164</v>
      </c>
      <c r="N308" s="282">
        <f t="shared" si="139"/>
        <v>2.9151898501596296</v>
      </c>
      <c r="O308" s="282">
        <f t="shared" si="139"/>
        <v>35.682999999999979</v>
      </c>
    </row>
    <row r="309" spans="1:15" s="212" customFormat="1">
      <c r="A309" s="213"/>
      <c r="B309" s="213"/>
      <c r="C309" s="213"/>
      <c r="D309" s="213"/>
      <c r="E309" s="213"/>
      <c r="F309" s="213"/>
      <c r="G309" s="213"/>
      <c r="H309" s="213"/>
      <c r="I309" s="213"/>
      <c r="J309" s="213"/>
      <c r="K309" s="213"/>
      <c r="L309" s="213"/>
      <c r="M309" s="213"/>
      <c r="N309" s="216"/>
    </row>
    <row r="310" spans="1:15" s="212" customFormat="1">
      <c r="A310" s="213"/>
      <c r="B310" s="213"/>
      <c r="C310" s="213"/>
      <c r="D310" s="213"/>
      <c r="E310" s="213"/>
      <c r="F310" s="213"/>
      <c r="G310" s="213"/>
      <c r="H310" s="213"/>
      <c r="I310" s="213"/>
      <c r="J310" s="213"/>
      <c r="K310" s="213"/>
      <c r="L310" s="213"/>
      <c r="M310" s="213"/>
      <c r="N310" s="216"/>
      <c r="O310" s="227" t="s">
        <v>112</v>
      </c>
    </row>
    <row r="311" spans="1:15" s="212" customFormat="1">
      <c r="A311" s="218"/>
      <c r="B311" s="218"/>
      <c r="C311" s="218"/>
      <c r="D311" s="218"/>
      <c r="E311" s="218"/>
      <c r="F311" s="218"/>
      <c r="G311" s="218"/>
      <c r="H311" s="218"/>
      <c r="I311" s="218"/>
      <c r="J311" s="218"/>
      <c r="K311" s="218"/>
      <c r="L311" s="218"/>
      <c r="M311" s="218"/>
      <c r="N311" s="218"/>
      <c r="O311" s="218"/>
    </row>
    <row r="312" spans="1:15" s="212" customFormat="1">
      <c r="A312" s="217" t="str">
        <f>name!B21</f>
        <v>Public admin. and defence</v>
      </c>
      <c r="B312" s="349">
        <f>$B$6</f>
        <v>2015</v>
      </c>
      <c r="C312" s="349"/>
      <c r="D312" s="349"/>
      <c r="E312" s="349"/>
      <c r="F312" s="239"/>
      <c r="G312" s="349">
        <f>$G$6</f>
        <v>2020</v>
      </c>
      <c r="H312" s="349"/>
      <c r="I312" s="349"/>
      <c r="J312" s="349"/>
      <c r="K312" s="239"/>
      <c r="L312" s="349">
        <f>$L$6</f>
        <v>2035</v>
      </c>
      <c r="M312" s="349"/>
      <c r="N312" s="349"/>
      <c r="O312" s="349"/>
    </row>
    <row r="313" spans="1:15" s="212" customFormat="1">
      <c r="A313" s="230"/>
      <c r="B313" s="244" t="str">
        <f>$B$7</f>
        <v>FT</v>
      </c>
      <c r="C313" s="244" t="str">
        <f>$C$7</f>
        <v>PT</v>
      </c>
      <c r="D313" s="244" t="str">
        <f>$D$7</f>
        <v>SE</v>
      </c>
      <c r="E313" s="244" t="str">
        <f>$E$7</f>
        <v>Total</v>
      </c>
      <c r="F313" s="244"/>
      <c r="G313" s="244" t="str">
        <f>$G$7</f>
        <v>FT</v>
      </c>
      <c r="H313" s="244" t="str">
        <f>$H$7</f>
        <v>PT</v>
      </c>
      <c r="I313" s="244" t="str">
        <f>$I$7</f>
        <v>SE</v>
      </c>
      <c r="J313" s="244" t="str">
        <f>$J$7</f>
        <v>Total</v>
      </c>
      <c r="K313" s="244"/>
      <c r="L313" s="244" t="str">
        <f>$L$7</f>
        <v>FT</v>
      </c>
      <c r="M313" s="244" t="str">
        <f>$M$7</f>
        <v>PT</v>
      </c>
      <c r="N313" s="244" t="str">
        <f>$N$7</f>
        <v>SE</v>
      </c>
      <c r="O313" s="244" t="str">
        <f>$O$7</f>
        <v>Total</v>
      </c>
    </row>
    <row r="314" spans="1:15" s="212" customFormat="1">
      <c r="A314" s="234"/>
      <c r="B314" s="215"/>
      <c r="C314" s="215"/>
      <c r="D314" s="215"/>
      <c r="E314" s="215"/>
      <c r="F314" s="215"/>
      <c r="G314" s="215"/>
      <c r="H314" s="215"/>
      <c r="I314" s="215"/>
      <c r="J314" s="215"/>
      <c r="K314" s="215"/>
      <c r="L314" s="215"/>
      <c r="M314" s="215"/>
      <c r="N314" s="215"/>
      <c r="O314" s="215"/>
    </row>
    <row r="315" spans="1:15" s="212" customFormat="1">
      <c r="A315" s="213" t="str">
        <f>name!E$4</f>
        <v>Managers, directors and senior officials</v>
      </c>
      <c r="B315" s="278">
        <v>0.75713633150613679</v>
      </c>
      <c r="C315" s="278">
        <v>0.21806964068244944</v>
      </c>
      <c r="D315" s="278">
        <v>0.15651449481529359</v>
      </c>
      <c r="E315" s="278">
        <f>SUM(B315:D315)</f>
        <v>1.1317204670038798</v>
      </c>
      <c r="F315" s="279"/>
      <c r="G315" s="278">
        <v>0.82945589551813603</v>
      </c>
      <c r="H315" s="278">
        <v>0.27690574109988608</v>
      </c>
      <c r="I315" s="278">
        <v>3.1651451001012319E-2</v>
      </c>
      <c r="J315" s="278">
        <f>SUM(G315:I315)</f>
        <v>1.1380130876190344</v>
      </c>
      <c r="K315" s="279"/>
      <c r="L315" s="278">
        <v>0.81240098157709872</v>
      </c>
      <c r="M315" s="278">
        <v>0.35376462199784631</v>
      </c>
      <c r="N315" s="278">
        <v>4.6436502030222572E-2</v>
      </c>
      <c r="O315" s="278">
        <f>SUM(L315:N315)</f>
        <v>1.2126021056051677</v>
      </c>
    </row>
    <row r="316" spans="1:15" s="212" customFormat="1">
      <c r="A316" s="213" t="str">
        <f>name!E$5</f>
        <v>Professional occupations</v>
      </c>
      <c r="B316" s="278">
        <v>1.7022842330850063</v>
      </c>
      <c r="C316" s="278">
        <v>0.74855588740164136</v>
      </c>
      <c r="D316" s="278">
        <v>0.35971619941795357</v>
      </c>
      <c r="E316" s="278">
        <f t="shared" ref="E316:E323" si="140">SUM(B316:D316)</f>
        <v>2.8105563199046011</v>
      </c>
      <c r="F316" s="279"/>
      <c r="G316" s="278">
        <v>2.1318368864748964</v>
      </c>
      <c r="H316" s="278">
        <v>0.87909676072273946</v>
      </c>
      <c r="I316" s="278">
        <v>0.12453661929454542</v>
      </c>
      <c r="J316" s="278">
        <f t="shared" ref="J316:J318" si="141">SUM(G316:I316)</f>
        <v>3.1354702664921814</v>
      </c>
      <c r="K316" s="279"/>
      <c r="L316" s="278">
        <v>2.6264059938823792</v>
      </c>
      <c r="M316" s="278">
        <v>1.1764566208536702</v>
      </c>
      <c r="N316" s="278">
        <v>0.13817843232704788</v>
      </c>
      <c r="O316" s="278">
        <f t="shared" ref="O316:O323" si="142">SUM(L316:N316)</f>
        <v>3.9410410470630972</v>
      </c>
    </row>
    <row r="317" spans="1:15" s="212" customFormat="1">
      <c r="A317" s="213" t="str">
        <f>name!E$6</f>
        <v>Associate professional occupations</v>
      </c>
      <c r="B317" s="278">
        <v>3.3607752533011772</v>
      </c>
      <c r="C317" s="278">
        <v>0.8560079457651173</v>
      </c>
      <c r="D317" s="278">
        <v>0.27854005983617702</v>
      </c>
      <c r="E317" s="278">
        <f t="shared" si="140"/>
        <v>4.4953232589024719</v>
      </c>
      <c r="F317" s="279"/>
      <c r="G317" s="278">
        <v>3.7339453317299269</v>
      </c>
      <c r="H317" s="278">
        <v>0.84517282124915938</v>
      </c>
      <c r="I317" s="278">
        <v>5.7130719322004135E-2</v>
      </c>
      <c r="J317" s="278">
        <f t="shared" si="141"/>
        <v>4.6362488723010911</v>
      </c>
      <c r="K317" s="279"/>
      <c r="L317" s="278">
        <v>3.8054510366998029</v>
      </c>
      <c r="M317" s="278">
        <v>1.1059540291988936</v>
      </c>
      <c r="N317" s="278">
        <v>6.8091907783013564E-2</v>
      </c>
      <c r="O317" s="278">
        <f t="shared" si="142"/>
        <v>4.9794969736817105</v>
      </c>
    </row>
    <row r="318" spans="1:15" s="212" customFormat="1">
      <c r="A318" s="213" t="str">
        <f>name!E$7</f>
        <v>Administrative and secretarial occupations</v>
      </c>
      <c r="B318" s="278">
        <v>2.5179095029629517</v>
      </c>
      <c r="C318" s="278">
        <v>2.5492381559632311</v>
      </c>
      <c r="D318" s="278">
        <v>9.250287765733782E-2</v>
      </c>
      <c r="E318" s="278">
        <f t="shared" si="140"/>
        <v>5.1596505365835208</v>
      </c>
      <c r="F318" s="279"/>
      <c r="G318" s="278">
        <v>2.3780270397226317</v>
      </c>
      <c r="H318" s="278">
        <v>2.1462575103020756</v>
      </c>
      <c r="I318" s="278">
        <v>2.3958482657029198E-2</v>
      </c>
      <c r="J318" s="278">
        <f t="shared" si="141"/>
        <v>4.5482430326817367</v>
      </c>
      <c r="K318" s="279"/>
      <c r="L318" s="278">
        <v>2.1633027355736041</v>
      </c>
      <c r="M318" s="278">
        <v>2.0002055671549037</v>
      </c>
      <c r="N318" s="278">
        <v>1.3141353961363835E-2</v>
      </c>
      <c r="O318" s="278">
        <f t="shared" si="142"/>
        <v>4.1766496566898708</v>
      </c>
    </row>
    <row r="319" spans="1:15" s="212" customFormat="1">
      <c r="A319" s="213" t="str">
        <f>name!E$8</f>
        <v>Skilled trades occupations</v>
      </c>
      <c r="B319" s="278">
        <v>0.21616617734026602</v>
      </c>
      <c r="C319" s="278">
        <v>2.4977132770183631E-2</v>
      </c>
      <c r="D319" s="278">
        <v>0.14047862780388937</v>
      </c>
      <c r="E319" s="278">
        <f t="shared" si="140"/>
        <v>0.38162193791433902</v>
      </c>
      <c r="F319" s="279"/>
      <c r="G319" s="278">
        <v>0.17093728764492006</v>
      </c>
      <c r="H319" s="278">
        <v>1.7966484879468194E-2</v>
      </c>
      <c r="I319" s="278">
        <v>1.7448838460953798E-3</v>
      </c>
      <c r="J319" s="278">
        <f>SUM(G319:I319)</f>
        <v>0.19064865637048364</v>
      </c>
      <c r="K319" s="279"/>
      <c r="L319" s="278">
        <v>0.17252280662708894</v>
      </c>
      <c r="M319" s="278">
        <v>4.2435237173901456E-2</v>
      </c>
      <c r="N319" s="278">
        <v>3.3075512353227671E-3</v>
      </c>
      <c r="O319" s="278">
        <f t="shared" si="142"/>
        <v>0.21826559503631315</v>
      </c>
    </row>
    <row r="320" spans="1:15" s="212" customFormat="1">
      <c r="A320" s="213" t="str">
        <f>name!E$9</f>
        <v>Caring, leisure and other service occupations</v>
      </c>
      <c r="B320" s="278">
        <v>0.37188375313657429</v>
      </c>
      <c r="C320" s="278">
        <v>0.36017895768157532</v>
      </c>
      <c r="D320" s="278">
        <v>6.443608287350891E-2</v>
      </c>
      <c r="E320" s="278">
        <f t="shared" si="140"/>
        <v>0.79649879369165855</v>
      </c>
      <c r="F320" s="279"/>
      <c r="G320" s="278">
        <v>0.34965147737054525</v>
      </c>
      <c r="H320" s="278">
        <v>0.31098202360588245</v>
      </c>
      <c r="I320" s="278">
        <v>2.9884524376919266E-2</v>
      </c>
      <c r="J320" s="278">
        <f t="shared" ref="J320:J323" si="143">SUM(G320:I320)</f>
        <v>0.69051802535334694</v>
      </c>
      <c r="K320" s="279"/>
      <c r="L320" s="278">
        <v>0.40920434125702432</v>
      </c>
      <c r="M320" s="278">
        <v>0.31921379935124994</v>
      </c>
      <c r="N320" s="278">
        <v>2.3481537405951002E-2</v>
      </c>
      <c r="O320" s="278">
        <f t="shared" si="142"/>
        <v>0.7518996780142253</v>
      </c>
    </row>
    <row r="321" spans="1:15" s="212" customFormat="1">
      <c r="A321" s="213" t="str">
        <f>name!E$10</f>
        <v>Sales and customer service occupations</v>
      </c>
      <c r="B321" s="278">
        <v>0.20544665038851434</v>
      </c>
      <c r="C321" s="278">
        <v>0.23087927370879072</v>
      </c>
      <c r="D321" s="278">
        <v>3.1016160333319335E-2</v>
      </c>
      <c r="E321" s="278">
        <f t="shared" si="140"/>
        <v>0.46734208443062442</v>
      </c>
      <c r="F321" s="279"/>
      <c r="G321" s="278">
        <v>0.19530958506499355</v>
      </c>
      <c r="H321" s="278">
        <v>0.21282221549390642</v>
      </c>
      <c r="I321" s="278">
        <v>4.3659187726266249E-3</v>
      </c>
      <c r="J321" s="278">
        <f t="shared" si="143"/>
        <v>0.41249771933152657</v>
      </c>
      <c r="K321" s="279"/>
      <c r="L321" s="278">
        <v>0.21346625705113098</v>
      </c>
      <c r="M321" s="278">
        <v>0.26127003788249609</v>
      </c>
      <c r="N321" s="278">
        <v>4.3263270125972692E-3</v>
      </c>
      <c r="O321" s="278">
        <f t="shared" si="142"/>
        <v>0.47906262194622434</v>
      </c>
    </row>
    <row r="322" spans="1:15" s="212" customFormat="1">
      <c r="A322" s="213" t="str">
        <f>name!E$11</f>
        <v>Process, plant and machine operatives</v>
      </c>
      <c r="B322" s="278">
        <v>0.17718239120434259</v>
      </c>
      <c r="C322" s="278">
        <v>6.0849802061034255E-2</v>
      </c>
      <c r="D322" s="278">
        <v>1.9941163537520731E-2</v>
      </c>
      <c r="E322" s="278">
        <f t="shared" si="140"/>
        <v>0.25797335680289757</v>
      </c>
      <c r="F322" s="279"/>
      <c r="G322" s="278">
        <v>0.13075166087956339</v>
      </c>
      <c r="H322" s="278">
        <v>4.1810078327685164E-2</v>
      </c>
      <c r="I322" s="278">
        <v>1.52103323950687E-3</v>
      </c>
      <c r="J322" s="278">
        <f t="shared" si="143"/>
        <v>0.17408277244675541</v>
      </c>
      <c r="K322" s="279"/>
      <c r="L322" s="278">
        <v>0.13144801936213429</v>
      </c>
      <c r="M322" s="278">
        <v>4.7828344527398023E-2</v>
      </c>
      <c r="N322" s="278">
        <v>1.3722182701097648E-3</v>
      </c>
      <c r="O322" s="278">
        <f t="shared" si="142"/>
        <v>0.18064858215964211</v>
      </c>
    </row>
    <row r="323" spans="1:15" s="212" customFormat="1">
      <c r="A323" s="213" t="str">
        <f>name!E$12</f>
        <v>Elementary occupations</v>
      </c>
      <c r="B323" s="278">
        <v>0.24190800484276115</v>
      </c>
      <c r="C323" s="278">
        <v>0.24131919416384823</v>
      </c>
      <c r="D323" s="278">
        <v>1.9086045759383354E-2</v>
      </c>
      <c r="E323" s="278">
        <f t="shared" si="140"/>
        <v>0.50231324476599271</v>
      </c>
      <c r="F323" s="279"/>
      <c r="G323" s="278">
        <v>0.19084354159636457</v>
      </c>
      <c r="H323" s="278">
        <v>0.16200812135911402</v>
      </c>
      <c r="I323" s="278">
        <v>2.425904448364082E-3</v>
      </c>
      <c r="J323" s="278">
        <f t="shared" si="143"/>
        <v>0.3552775674038427</v>
      </c>
      <c r="K323" s="279"/>
      <c r="L323" s="278">
        <v>0.18650158352971863</v>
      </c>
      <c r="M323" s="278">
        <v>9.6231797769469343E-2</v>
      </c>
      <c r="N323" s="278">
        <v>2.6003585045385161E-3</v>
      </c>
      <c r="O323" s="278">
        <f t="shared" si="142"/>
        <v>0.28533373980372645</v>
      </c>
    </row>
    <row r="324" spans="1:15" s="212" customFormat="1">
      <c r="A324" s="213"/>
      <c r="B324" s="278"/>
      <c r="C324" s="278"/>
      <c r="D324" s="278"/>
      <c r="E324" s="278"/>
      <c r="F324" s="279"/>
      <c r="G324" s="278"/>
      <c r="H324" s="278"/>
      <c r="I324" s="278"/>
      <c r="J324" s="278"/>
      <c r="K324" s="279"/>
      <c r="L324" s="278"/>
      <c r="M324" s="278"/>
      <c r="N324" s="278"/>
      <c r="O324" s="278"/>
    </row>
    <row r="325" spans="1:15" s="212" customFormat="1">
      <c r="A325" s="220" t="s">
        <v>117</v>
      </c>
      <c r="B325" s="282">
        <f>SUM(B315:B323)</f>
        <v>9.550692297767732</v>
      </c>
      <c r="C325" s="282">
        <f t="shared" ref="C325:E325" si="144">SUM(C315:C323)</f>
        <v>5.290075990197872</v>
      </c>
      <c r="D325" s="282">
        <f t="shared" si="144"/>
        <v>1.1622317120343837</v>
      </c>
      <c r="E325" s="282">
        <f t="shared" si="144"/>
        <v>16.002999999999986</v>
      </c>
      <c r="F325" s="282"/>
      <c r="G325" s="282">
        <f t="shared" ref="G325:J325" si="145">SUM(G315:G323)</f>
        <v>10.110758706001977</v>
      </c>
      <c r="H325" s="282">
        <f t="shared" si="145"/>
        <v>4.8930217570399179</v>
      </c>
      <c r="I325" s="282">
        <f t="shared" si="145"/>
        <v>0.27721953695810325</v>
      </c>
      <c r="J325" s="282">
        <f t="shared" si="145"/>
        <v>15.280999999999995</v>
      </c>
      <c r="K325" s="282"/>
      <c r="L325" s="282">
        <f t="shared" ref="L325:O325" si="146">SUM(L315:L323)</f>
        <v>10.520703755559984</v>
      </c>
      <c r="M325" s="282">
        <f t="shared" si="146"/>
        <v>5.403360055909828</v>
      </c>
      <c r="N325" s="282">
        <f t="shared" si="146"/>
        <v>0.30093618853016713</v>
      </c>
      <c r="O325" s="282">
        <f t="shared" si="146"/>
        <v>16.22499999999998</v>
      </c>
    </row>
    <row r="326" spans="1:15" s="212" customFormat="1">
      <c r="A326" s="213"/>
      <c r="B326" s="213"/>
      <c r="C326" s="213"/>
      <c r="D326" s="213"/>
      <c r="E326" s="213"/>
      <c r="F326" s="213"/>
      <c r="G326" s="213"/>
      <c r="H326" s="213"/>
      <c r="I326" s="213"/>
      <c r="J326" s="213"/>
      <c r="K326" s="213"/>
      <c r="L326" s="213"/>
      <c r="M326" s="213"/>
      <c r="N326" s="216"/>
    </row>
    <row r="327" spans="1:15" s="212" customFormat="1">
      <c r="A327" s="213"/>
      <c r="B327" s="213"/>
      <c r="C327" s="213"/>
      <c r="D327" s="213"/>
      <c r="E327" s="213"/>
      <c r="F327" s="213"/>
      <c r="G327" s="213"/>
      <c r="H327" s="213"/>
      <c r="I327" s="213"/>
      <c r="J327" s="213"/>
      <c r="K327" s="213"/>
      <c r="L327" s="213"/>
      <c r="M327" s="213"/>
      <c r="N327" s="216"/>
      <c r="O327" s="227" t="s">
        <v>112</v>
      </c>
    </row>
    <row r="328" spans="1:15" s="212" customFormat="1">
      <c r="A328" s="218"/>
      <c r="B328" s="218"/>
      <c r="C328" s="218"/>
      <c r="D328" s="218"/>
      <c r="E328" s="218"/>
      <c r="F328" s="218"/>
      <c r="G328" s="218"/>
      <c r="H328" s="218"/>
      <c r="I328" s="218"/>
      <c r="J328" s="218"/>
      <c r="K328" s="218"/>
      <c r="L328" s="218"/>
      <c r="M328" s="218"/>
      <c r="N328" s="218"/>
      <c r="O328" s="218"/>
    </row>
    <row r="329" spans="1:15" s="212" customFormat="1">
      <c r="A329" s="217" t="str">
        <f>name!B22</f>
        <v>Education</v>
      </c>
      <c r="B329" s="349">
        <f>$B$6</f>
        <v>2015</v>
      </c>
      <c r="C329" s="349"/>
      <c r="D329" s="349"/>
      <c r="E329" s="349"/>
      <c r="F329" s="239"/>
      <c r="G329" s="349">
        <f>$G$6</f>
        <v>2020</v>
      </c>
      <c r="H329" s="349"/>
      <c r="I329" s="349"/>
      <c r="J329" s="349"/>
      <c r="K329" s="239"/>
      <c r="L329" s="349">
        <f>$L$6</f>
        <v>2035</v>
      </c>
      <c r="M329" s="349"/>
      <c r="N329" s="349"/>
      <c r="O329" s="349"/>
    </row>
    <row r="330" spans="1:15" s="212" customFormat="1">
      <c r="A330" s="230"/>
      <c r="B330" s="244" t="str">
        <f>$B$7</f>
        <v>FT</v>
      </c>
      <c r="C330" s="244" t="str">
        <f>$C$7</f>
        <v>PT</v>
      </c>
      <c r="D330" s="244" t="str">
        <f>$D$7</f>
        <v>SE</v>
      </c>
      <c r="E330" s="244" t="str">
        <f>$E$7</f>
        <v>Total</v>
      </c>
      <c r="F330" s="244"/>
      <c r="G330" s="244" t="str">
        <f>$G$7</f>
        <v>FT</v>
      </c>
      <c r="H330" s="244" t="str">
        <f>$H$7</f>
        <v>PT</v>
      </c>
      <c r="I330" s="244" t="str">
        <f>$I$7</f>
        <v>SE</v>
      </c>
      <c r="J330" s="244" t="str">
        <f>$J$7</f>
        <v>Total</v>
      </c>
      <c r="K330" s="244"/>
      <c r="L330" s="244" t="str">
        <f>$L$7</f>
        <v>FT</v>
      </c>
      <c r="M330" s="244" t="str">
        <f>$M$7</f>
        <v>PT</v>
      </c>
      <c r="N330" s="244" t="str">
        <f>$N$7</f>
        <v>SE</v>
      </c>
      <c r="O330" s="244" t="str">
        <f>$O$7</f>
        <v>Total</v>
      </c>
    </row>
    <row r="331" spans="1:15" s="212" customFormat="1">
      <c r="A331" s="234"/>
      <c r="B331" s="215"/>
      <c r="C331" s="215"/>
      <c r="D331" s="215"/>
      <c r="E331" s="215"/>
      <c r="F331" s="215"/>
      <c r="G331" s="215"/>
      <c r="H331" s="215"/>
      <c r="I331" s="215"/>
      <c r="J331" s="215"/>
      <c r="K331" s="215"/>
      <c r="L331" s="215"/>
      <c r="M331" s="215"/>
      <c r="N331" s="215"/>
      <c r="O331" s="215"/>
    </row>
    <row r="332" spans="1:15" s="212" customFormat="1">
      <c r="A332" s="213" t="str">
        <f>name!E$4</f>
        <v>Managers, directors and senior officials</v>
      </c>
      <c r="B332" s="278">
        <v>0.63100503305341249</v>
      </c>
      <c r="C332" s="278">
        <v>0.24797306791750265</v>
      </c>
      <c r="D332" s="278">
        <v>0.18130462566273173</v>
      </c>
      <c r="E332" s="278">
        <f>SUM(B332:D332)</f>
        <v>1.0602827266336468</v>
      </c>
      <c r="F332" s="279"/>
      <c r="G332" s="278">
        <v>0.66615120126229399</v>
      </c>
      <c r="H332" s="278">
        <v>0.30466414419390869</v>
      </c>
      <c r="I332" s="278">
        <v>0.20523400748940496</v>
      </c>
      <c r="J332" s="278">
        <f>SUM(G332:I332)</f>
        <v>1.1760493529456078</v>
      </c>
      <c r="K332" s="279"/>
      <c r="L332" s="278">
        <v>0.64324436361484216</v>
      </c>
      <c r="M332" s="278">
        <v>0.40220192225366974</v>
      </c>
      <c r="N332" s="278">
        <v>0.17509267754576052</v>
      </c>
      <c r="O332" s="278">
        <f>SUM(L332:N332)</f>
        <v>1.2205389634142723</v>
      </c>
    </row>
    <row r="333" spans="1:15" s="212" customFormat="1">
      <c r="A333" s="213" t="str">
        <f>name!E$5</f>
        <v>Professional occupations</v>
      </c>
      <c r="B333" s="278">
        <v>12.386733393523535</v>
      </c>
      <c r="C333" s="278">
        <v>6.4193807741342255</v>
      </c>
      <c r="D333" s="278">
        <v>0.94306719762449076</v>
      </c>
      <c r="E333" s="278">
        <f t="shared" ref="E333:E340" si="147">SUM(B333:D333)</f>
        <v>19.749181365282251</v>
      </c>
      <c r="F333" s="279"/>
      <c r="G333" s="278">
        <v>13.949649234078313</v>
      </c>
      <c r="H333" s="278">
        <v>6.9036194809464151</v>
      </c>
      <c r="I333" s="278">
        <v>1.2406529484836422</v>
      </c>
      <c r="J333" s="278">
        <f t="shared" ref="J333:J335" si="148">SUM(G333:I333)</f>
        <v>22.093921663508372</v>
      </c>
      <c r="K333" s="279"/>
      <c r="L333" s="278">
        <v>15.596702875651015</v>
      </c>
      <c r="M333" s="278">
        <v>8.9173900295499831</v>
      </c>
      <c r="N333" s="278">
        <v>1.15599024833556</v>
      </c>
      <c r="O333" s="278">
        <f t="shared" ref="O333:O340" si="149">SUM(L333:N333)</f>
        <v>25.670083153536556</v>
      </c>
    </row>
    <row r="334" spans="1:15" s="212" customFormat="1">
      <c r="A334" s="213" t="str">
        <f>name!E$6</f>
        <v>Associate professional occupations</v>
      </c>
      <c r="B334" s="278">
        <v>1.6886332728677302</v>
      </c>
      <c r="C334" s="278">
        <v>1.5160926208655037</v>
      </c>
      <c r="D334" s="278">
        <v>0.52925632935838018</v>
      </c>
      <c r="E334" s="278">
        <f t="shared" si="147"/>
        <v>3.7339822230916142</v>
      </c>
      <c r="F334" s="279"/>
      <c r="G334" s="278">
        <v>1.870936611555569</v>
      </c>
      <c r="H334" s="278">
        <v>1.5924030762373498</v>
      </c>
      <c r="I334" s="278">
        <v>0.48926489306955417</v>
      </c>
      <c r="J334" s="278">
        <f t="shared" si="148"/>
        <v>3.9526045808624732</v>
      </c>
      <c r="K334" s="279"/>
      <c r="L334" s="278">
        <v>2.344738825933844</v>
      </c>
      <c r="M334" s="278">
        <v>2.3331818350727143</v>
      </c>
      <c r="N334" s="278">
        <v>0.42046407946751696</v>
      </c>
      <c r="O334" s="278">
        <f t="shared" si="149"/>
        <v>5.0983847404740752</v>
      </c>
    </row>
    <row r="335" spans="1:15" s="212" customFormat="1">
      <c r="A335" s="213" t="str">
        <f>name!E$7</f>
        <v>Administrative and secretarial occupations</v>
      </c>
      <c r="B335" s="278">
        <v>0.94394747290745618</v>
      </c>
      <c r="C335" s="278">
        <v>2.2808246500516516</v>
      </c>
      <c r="D335" s="278">
        <v>5.8900268751222486E-2</v>
      </c>
      <c r="E335" s="278">
        <f t="shared" si="147"/>
        <v>3.2836723917103301</v>
      </c>
      <c r="F335" s="279"/>
      <c r="G335" s="278">
        <v>0.84387203960089185</v>
      </c>
      <c r="H335" s="278">
        <v>1.9261740091198301</v>
      </c>
      <c r="I335" s="278">
        <v>5.4786435836117239E-2</v>
      </c>
      <c r="J335" s="278">
        <f t="shared" si="148"/>
        <v>2.8248324845568393</v>
      </c>
      <c r="K335" s="279"/>
      <c r="L335" s="278">
        <v>0.53029378978159192</v>
      </c>
      <c r="M335" s="278">
        <v>1.1977195558865543</v>
      </c>
      <c r="N335" s="278">
        <v>2.971184885094982E-2</v>
      </c>
      <c r="O335" s="278">
        <f t="shared" si="149"/>
        <v>1.7577251945190961</v>
      </c>
    </row>
    <row r="336" spans="1:15" s="212" customFormat="1">
      <c r="A336" s="213" t="str">
        <f>name!E$8</f>
        <v>Skilled trades occupations</v>
      </c>
      <c r="B336" s="278">
        <v>0.46697813312703285</v>
      </c>
      <c r="C336" s="278">
        <v>0.29653326850374201</v>
      </c>
      <c r="D336" s="278">
        <v>8.4120392269488115E-2</v>
      </c>
      <c r="E336" s="278">
        <f t="shared" si="147"/>
        <v>0.847631793900263</v>
      </c>
      <c r="F336" s="279"/>
      <c r="G336" s="278">
        <v>0.34779899238412204</v>
      </c>
      <c r="H336" s="278">
        <v>0.19077321837976166</v>
      </c>
      <c r="I336" s="278">
        <v>7.7987487868538402E-2</v>
      </c>
      <c r="J336" s="278">
        <f>SUM(G336:I336)</f>
        <v>0.6165596986324221</v>
      </c>
      <c r="K336" s="279"/>
      <c r="L336" s="278">
        <v>0.22146776551903077</v>
      </c>
      <c r="M336" s="278">
        <v>9.1457097874046586E-2</v>
      </c>
      <c r="N336" s="278">
        <v>0.14657178952432115</v>
      </c>
      <c r="O336" s="278">
        <f t="shared" si="149"/>
        <v>0.4594966529173985</v>
      </c>
    </row>
    <row r="337" spans="1:15" s="212" customFormat="1">
      <c r="A337" s="213" t="str">
        <f>name!E$9</f>
        <v>Caring, leisure and other service occupations</v>
      </c>
      <c r="B337" s="278">
        <v>5.1480303417218805</v>
      </c>
      <c r="C337" s="278">
        <v>6.9988617740170023</v>
      </c>
      <c r="D337" s="278">
        <v>0.28904397025892326</v>
      </c>
      <c r="E337" s="278">
        <f t="shared" si="147"/>
        <v>12.435936085997806</v>
      </c>
      <c r="F337" s="279"/>
      <c r="G337" s="278">
        <v>4.8057975727818842</v>
      </c>
      <c r="H337" s="278">
        <v>6.3283672644781896</v>
      </c>
      <c r="I337" s="278">
        <v>0.31515383657092422</v>
      </c>
      <c r="J337" s="278">
        <f t="shared" ref="J337:J340" si="150">SUM(G337:I337)</f>
        <v>11.449318673830998</v>
      </c>
      <c r="K337" s="279"/>
      <c r="L337" s="278">
        <v>6.1343679317015765</v>
      </c>
      <c r="M337" s="278">
        <v>6.6047020651391977</v>
      </c>
      <c r="N337" s="278">
        <v>0.48993336638973756</v>
      </c>
      <c r="O337" s="278">
        <f t="shared" si="149"/>
        <v>13.229003363230511</v>
      </c>
    </row>
    <row r="338" spans="1:15" s="212" customFormat="1">
      <c r="A338" s="213" t="str">
        <f>name!E$10</f>
        <v>Sales and customer service occupations</v>
      </c>
      <c r="B338" s="278">
        <v>8.7278698077550496E-2</v>
      </c>
      <c r="C338" s="278">
        <v>0.16619691589700436</v>
      </c>
      <c r="D338" s="278">
        <v>4.9048525074581323E-2</v>
      </c>
      <c r="E338" s="278">
        <f t="shared" si="147"/>
        <v>0.30252413904913622</v>
      </c>
      <c r="F338" s="279"/>
      <c r="G338" s="278">
        <v>7.8506877425729024E-2</v>
      </c>
      <c r="H338" s="278">
        <v>0.14242139733742296</v>
      </c>
      <c r="I338" s="278">
        <v>3.5957068116879078E-2</v>
      </c>
      <c r="J338" s="278">
        <f t="shared" si="150"/>
        <v>0.25688534288003106</v>
      </c>
      <c r="K338" s="279"/>
      <c r="L338" s="278">
        <v>8.8425090924641583E-2</v>
      </c>
      <c r="M338" s="278">
        <v>0.15199975416170883</v>
      </c>
      <c r="N338" s="278">
        <v>4.3936721576681652E-2</v>
      </c>
      <c r="O338" s="278">
        <f t="shared" si="149"/>
        <v>0.28436156666303208</v>
      </c>
    </row>
    <row r="339" spans="1:15" s="212" customFormat="1">
      <c r="A339" s="213" t="str">
        <f>name!E$11</f>
        <v>Process, plant and machine operatives</v>
      </c>
      <c r="B339" s="278">
        <v>7.7148864144873958E-2</v>
      </c>
      <c r="C339" s="278">
        <v>0.10602133637792752</v>
      </c>
      <c r="D339" s="278">
        <v>0.6088735598790227</v>
      </c>
      <c r="E339" s="278">
        <f t="shared" si="147"/>
        <v>0.79204376040182423</v>
      </c>
      <c r="F339" s="279"/>
      <c r="G339" s="278">
        <v>5.5104136048749086E-2</v>
      </c>
      <c r="H339" s="278">
        <v>6.7620199630470904E-2</v>
      </c>
      <c r="I339" s="278">
        <v>0.66024534870515372</v>
      </c>
      <c r="J339" s="278">
        <f t="shared" si="150"/>
        <v>0.78296968438437375</v>
      </c>
      <c r="K339" s="279"/>
      <c r="L339" s="278">
        <v>3.8148960631170514E-2</v>
      </c>
      <c r="M339" s="278">
        <v>6.6426028230593348E-2</v>
      </c>
      <c r="N339" s="278">
        <v>0.78780759820175317</v>
      </c>
      <c r="O339" s="278">
        <f t="shared" si="149"/>
        <v>0.89238258706351703</v>
      </c>
    </row>
    <row r="340" spans="1:15" s="212" customFormat="1">
      <c r="A340" s="213" t="str">
        <f>name!E$12</f>
        <v>Elementary occupations</v>
      </c>
      <c r="B340" s="278">
        <v>0.27375008248464988</v>
      </c>
      <c r="C340" s="278">
        <v>2.2146770714690316</v>
      </c>
      <c r="D340" s="278">
        <v>0.1163183599795217</v>
      </c>
      <c r="E340" s="278">
        <f t="shared" si="147"/>
        <v>2.6047455139332034</v>
      </c>
      <c r="F340" s="279"/>
      <c r="G340" s="278">
        <v>0.20393646162367937</v>
      </c>
      <c r="H340" s="278">
        <v>1.6258999742683069</v>
      </c>
      <c r="I340" s="278">
        <v>8.0022082506871636E-2</v>
      </c>
      <c r="J340" s="278">
        <f t="shared" si="150"/>
        <v>1.9098585183988579</v>
      </c>
      <c r="K340" s="279"/>
      <c r="L340" s="278">
        <v>0.13838006435659972</v>
      </c>
      <c r="M340" s="278">
        <v>9.6823428327415514E-2</v>
      </c>
      <c r="N340" s="278">
        <v>0.31682028549747293</v>
      </c>
      <c r="O340" s="278">
        <f t="shared" si="149"/>
        <v>0.55202377818148818</v>
      </c>
    </row>
    <row r="341" spans="1:15" s="212" customFormat="1">
      <c r="A341" s="213"/>
      <c r="B341" s="278"/>
      <c r="C341" s="278"/>
      <c r="D341" s="278"/>
      <c r="E341" s="278"/>
      <c r="F341" s="279"/>
      <c r="G341" s="278"/>
      <c r="H341" s="278"/>
      <c r="I341" s="278"/>
      <c r="J341" s="278"/>
      <c r="K341" s="279"/>
      <c r="L341" s="278"/>
      <c r="M341" s="278"/>
      <c r="N341" s="278"/>
      <c r="O341" s="278"/>
    </row>
    <row r="342" spans="1:15" s="212" customFormat="1">
      <c r="A342" s="220" t="s">
        <v>117</v>
      </c>
      <c r="B342" s="282">
        <f>SUM(B332:B340)</f>
        <v>21.703505291908122</v>
      </c>
      <c r="C342" s="282">
        <f t="shared" ref="C342:E342" si="151">SUM(C332:C340)</f>
        <v>20.246561479233591</v>
      </c>
      <c r="D342" s="282">
        <f t="shared" si="151"/>
        <v>2.8599332288583623</v>
      </c>
      <c r="E342" s="282">
        <f t="shared" si="151"/>
        <v>44.810000000000073</v>
      </c>
      <c r="F342" s="282"/>
      <c r="G342" s="282">
        <f t="shared" ref="G342:J342" si="152">SUM(G332:G340)</f>
        <v>22.821753126761227</v>
      </c>
      <c r="H342" s="282">
        <f t="shared" si="152"/>
        <v>19.081942764591659</v>
      </c>
      <c r="I342" s="282">
        <f t="shared" si="152"/>
        <v>3.1593041086470857</v>
      </c>
      <c r="J342" s="282">
        <f t="shared" si="152"/>
        <v>45.062999999999981</v>
      </c>
      <c r="K342" s="282"/>
      <c r="L342" s="282">
        <f t="shared" ref="L342:O342" si="153">SUM(L332:L340)</f>
        <v>25.735769668114308</v>
      </c>
      <c r="M342" s="282">
        <f t="shared" si="153"/>
        <v>19.861901716495883</v>
      </c>
      <c r="N342" s="282">
        <f t="shared" si="153"/>
        <v>3.5663286153897533</v>
      </c>
      <c r="O342" s="282">
        <f t="shared" si="153"/>
        <v>49.163999999999945</v>
      </c>
    </row>
    <row r="343" spans="1:15" s="212" customFormat="1">
      <c r="A343" s="213"/>
      <c r="B343" s="213"/>
      <c r="C343" s="213"/>
      <c r="D343" s="213"/>
      <c r="E343" s="213"/>
      <c r="F343" s="213"/>
      <c r="G343" s="213"/>
      <c r="H343" s="213"/>
      <c r="I343" s="213"/>
      <c r="J343" s="213"/>
      <c r="K343" s="213"/>
      <c r="L343" s="213"/>
      <c r="M343" s="213"/>
      <c r="N343" s="216"/>
    </row>
    <row r="344" spans="1:15" s="212" customFormat="1">
      <c r="A344" s="213"/>
      <c r="B344" s="213"/>
      <c r="C344" s="213"/>
      <c r="D344" s="213"/>
      <c r="E344" s="213"/>
      <c r="F344" s="213"/>
      <c r="G344" s="213"/>
      <c r="H344" s="213"/>
      <c r="I344" s="213"/>
      <c r="J344" s="213"/>
      <c r="K344" s="213"/>
      <c r="L344" s="213"/>
      <c r="M344" s="213"/>
      <c r="N344" s="216"/>
      <c r="O344" s="227" t="s">
        <v>112</v>
      </c>
    </row>
    <row r="345" spans="1:15" s="212" customFormat="1">
      <c r="A345" s="218"/>
      <c r="B345" s="218"/>
      <c r="C345" s="218"/>
      <c r="D345" s="218"/>
      <c r="E345" s="218"/>
      <c r="F345" s="218"/>
      <c r="G345" s="218"/>
      <c r="H345" s="218"/>
      <c r="I345" s="218"/>
      <c r="J345" s="218"/>
      <c r="K345" s="218"/>
      <c r="L345" s="218"/>
      <c r="M345" s="218"/>
      <c r="N345" s="218"/>
      <c r="O345" s="218"/>
    </row>
    <row r="346" spans="1:15" s="212" customFormat="1">
      <c r="A346" s="217" t="str">
        <f>name!B23</f>
        <v>Health and social work</v>
      </c>
      <c r="B346" s="349">
        <f>$B$6</f>
        <v>2015</v>
      </c>
      <c r="C346" s="349"/>
      <c r="D346" s="349"/>
      <c r="E346" s="349"/>
      <c r="F346" s="239"/>
      <c r="G346" s="349">
        <f>$G$6</f>
        <v>2020</v>
      </c>
      <c r="H346" s="349"/>
      <c r="I346" s="349"/>
      <c r="J346" s="349"/>
      <c r="K346" s="239"/>
      <c r="L346" s="349">
        <f>$L$6</f>
        <v>2035</v>
      </c>
      <c r="M346" s="349"/>
      <c r="N346" s="349"/>
      <c r="O346" s="349"/>
    </row>
    <row r="347" spans="1:15" s="212" customFormat="1">
      <c r="A347" s="230"/>
      <c r="B347" s="244" t="str">
        <f>$B$7</f>
        <v>FT</v>
      </c>
      <c r="C347" s="244" t="str">
        <f>$C$7</f>
        <v>PT</v>
      </c>
      <c r="D347" s="244" t="str">
        <f>$D$7</f>
        <v>SE</v>
      </c>
      <c r="E347" s="244" t="str">
        <f>$E$7</f>
        <v>Total</v>
      </c>
      <c r="F347" s="244"/>
      <c r="G347" s="244" t="str">
        <f>$G$7</f>
        <v>FT</v>
      </c>
      <c r="H347" s="244" t="str">
        <f>$H$7</f>
        <v>PT</v>
      </c>
      <c r="I347" s="244" t="str">
        <f>$I$7</f>
        <v>SE</v>
      </c>
      <c r="J347" s="244" t="str">
        <f>$J$7</f>
        <v>Total</v>
      </c>
      <c r="K347" s="244"/>
      <c r="L347" s="244" t="str">
        <f>$L$7</f>
        <v>FT</v>
      </c>
      <c r="M347" s="244" t="str">
        <f>$M$7</f>
        <v>PT</v>
      </c>
      <c r="N347" s="244" t="str">
        <f>$N$7</f>
        <v>SE</v>
      </c>
      <c r="O347" s="244" t="str">
        <f>$O$7</f>
        <v>Total</v>
      </c>
    </row>
    <row r="348" spans="1:15" s="212" customFormat="1">
      <c r="A348" s="234"/>
      <c r="B348" s="215"/>
      <c r="C348" s="215"/>
      <c r="D348" s="215"/>
      <c r="E348" s="215"/>
      <c r="F348" s="215"/>
      <c r="G348" s="215"/>
      <c r="H348" s="215"/>
      <c r="I348" s="215"/>
      <c r="J348" s="215"/>
      <c r="K348" s="215"/>
      <c r="L348" s="215"/>
      <c r="M348" s="215"/>
      <c r="N348" s="215"/>
      <c r="O348" s="215"/>
    </row>
    <row r="349" spans="1:15" s="212" customFormat="1">
      <c r="A349" s="213" t="str">
        <f>name!E$4</f>
        <v>Managers, directors and senior officials</v>
      </c>
      <c r="B349" s="278">
        <v>1.6854851108844839</v>
      </c>
      <c r="C349" s="278">
        <v>0.50092299093033266</v>
      </c>
      <c r="D349" s="278">
        <v>0.22614235472440442</v>
      </c>
      <c r="E349" s="278">
        <f>SUM(B349:D349)</f>
        <v>2.4125504565392211</v>
      </c>
      <c r="F349" s="279"/>
      <c r="G349" s="278">
        <v>2.0126429988163896</v>
      </c>
      <c r="H349" s="278">
        <v>0.78154393073978967</v>
      </c>
      <c r="I349" s="278">
        <v>0.46209034454529901</v>
      </c>
      <c r="J349" s="278">
        <f>SUM(G349:I349)</f>
        <v>3.2562772741014783</v>
      </c>
      <c r="K349" s="279"/>
      <c r="L349" s="278">
        <v>2.0401769512971453</v>
      </c>
      <c r="M349" s="278">
        <v>0.99140841703331639</v>
      </c>
      <c r="N349" s="278">
        <v>0.55406256089097683</v>
      </c>
      <c r="O349" s="278">
        <f>SUM(L349:N349)</f>
        <v>3.5856479292214387</v>
      </c>
    </row>
    <row r="350" spans="1:15" s="212" customFormat="1">
      <c r="A350" s="213" t="str">
        <f>name!E$5</f>
        <v>Professional occupations</v>
      </c>
      <c r="B350" s="278">
        <v>11.680926968460874</v>
      </c>
      <c r="C350" s="278">
        <v>5.6146928203405775</v>
      </c>
      <c r="D350" s="278">
        <v>1.4295026265682567</v>
      </c>
      <c r="E350" s="278">
        <f t="shared" ref="E350:E357" si="154">SUM(B350:D350)</f>
        <v>18.725122415369711</v>
      </c>
      <c r="F350" s="279"/>
      <c r="G350" s="278">
        <v>14.818033001505173</v>
      </c>
      <c r="H350" s="278">
        <v>7.567514430883242</v>
      </c>
      <c r="I350" s="278">
        <v>2.0773893698458439</v>
      </c>
      <c r="J350" s="278">
        <f t="shared" ref="J350:J352" si="155">SUM(G350:I350)</f>
        <v>24.462936802234257</v>
      </c>
      <c r="K350" s="279"/>
      <c r="L350" s="278">
        <v>16.523669207003344</v>
      </c>
      <c r="M350" s="278">
        <v>8.5868175066331602</v>
      </c>
      <c r="N350" s="278">
        <v>1.9983394156039194</v>
      </c>
      <c r="O350" s="278">
        <f t="shared" ref="O350:O357" si="156">SUM(L350:N350)</f>
        <v>27.108826129240423</v>
      </c>
    </row>
    <row r="351" spans="1:15" s="212" customFormat="1">
      <c r="A351" s="213" t="str">
        <f>name!E$6</f>
        <v>Associate professional occupations</v>
      </c>
      <c r="B351" s="278">
        <v>4.8764502695457725</v>
      </c>
      <c r="C351" s="278">
        <v>2.9503300372988854</v>
      </c>
      <c r="D351" s="278">
        <v>0.66767209666121308</v>
      </c>
      <c r="E351" s="278">
        <f t="shared" si="154"/>
        <v>8.4944524035058713</v>
      </c>
      <c r="F351" s="279"/>
      <c r="G351" s="278">
        <v>5.9765215505737919</v>
      </c>
      <c r="H351" s="278">
        <v>3.9182184772484661</v>
      </c>
      <c r="I351" s="278">
        <v>0.61887401486959048</v>
      </c>
      <c r="J351" s="278">
        <f t="shared" si="155"/>
        <v>10.513614042691849</v>
      </c>
      <c r="K351" s="279"/>
      <c r="L351" s="278">
        <v>10.684186521658257</v>
      </c>
      <c r="M351" s="278">
        <v>6.2756599767424976</v>
      </c>
      <c r="N351" s="278">
        <v>0.84142683248566796</v>
      </c>
      <c r="O351" s="278">
        <f t="shared" si="156"/>
        <v>17.801273330886421</v>
      </c>
    </row>
    <row r="352" spans="1:15" s="212" customFormat="1">
      <c r="A352" s="213" t="str">
        <f>name!E$7</f>
        <v>Administrative and secretarial occupations</v>
      </c>
      <c r="B352" s="278">
        <v>2.2230465175969809</v>
      </c>
      <c r="C352" s="278">
        <v>3.4476681481100395</v>
      </c>
      <c r="D352" s="278">
        <v>0.13653778386575413</v>
      </c>
      <c r="E352" s="278">
        <f t="shared" si="154"/>
        <v>5.8072524495727746</v>
      </c>
      <c r="F352" s="279"/>
      <c r="G352" s="278">
        <v>2.3544054542063448</v>
      </c>
      <c r="H352" s="278">
        <v>3.5176145630169913</v>
      </c>
      <c r="I352" s="278">
        <v>9.751969368850405E-2</v>
      </c>
      <c r="J352" s="278">
        <f t="shared" si="155"/>
        <v>5.9695397109118407</v>
      </c>
      <c r="K352" s="279"/>
      <c r="L352" s="278">
        <v>1.7101006108762336</v>
      </c>
      <c r="M352" s="278">
        <v>1.7767933160785934</v>
      </c>
      <c r="N352" s="278">
        <v>7.2863667235922483E-2</v>
      </c>
      <c r="O352" s="278">
        <f t="shared" si="156"/>
        <v>3.5597575941907493</v>
      </c>
    </row>
    <row r="353" spans="1:15" s="212" customFormat="1">
      <c r="A353" s="213" t="str">
        <f>name!E$8</f>
        <v>Skilled trades occupations</v>
      </c>
      <c r="B353" s="278">
        <v>0.45154952774325213</v>
      </c>
      <c r="C353" s="278">
        <v>0.33285062404574817</v>
      </c>
      <c r="D353" s="278">
        <v>9.8891803864451872E-2</v>
      </c>
      <c r="E353" s="278">
        <f t="shared" si="154"/>
        <v>0.88329195565345209</v>
      </c>
      <c r="F353" s="279"/>
      <c r="G353" s="278">
        <v>0.3499301470896769</v>
      </c>
      <c r="H353" s="278">
        <v>0.26660587426102972</v>
      </c>
      <c r="I353" s="278">
        <v>0.22515648734004287</v>
      </c>
      <c r="J353" s="278">
        <f>SUM(G353:I353)</f>
        <v>0.84169250869074952</v>
      </c>
      <c r="K353" s="279"/>
      <c r="L353" s="278">
        <v>0.2257114765855544</v>
      </c>
      <c r="M353" s="278">
        <v>0.20112190216994122</v>
      </c>
      <c r="N353" s="278">
        <v>0.25651993528357919</v>
      </c>
      <c r="O353" s="278">
        <f t="shared" si="156"/>
        <v>0.68335331403907484</v>
      </c>
    </row>
    <row r="354" spans="1:15" s="212" customFormat="1">
      <c r="A354" s="213" t="str">
        <f>name!E$9</f>
        <v>Caring, leisure and other service occupations</v>
      </c>
      <c r="B354" s="278">
        <v>10.735368346648158</v>
      </c>
      <c r="C354" s="278">
        <v>9.6787180323217576</v>
      </c>
      <c r="D354" s="278">
        <v>1.331929187985933</v>
      </c>
      <c r="E354" s="278">
        <f t="shared" si="154"/>
        <v>21.746015566955847</v>
      </c>
      <c r="F354" s="279"/>
      <c r="G354" s="278">
        <v>12.236348070520265</v>
      </c>
      <c r="H354" s="278">
        <v>10.698681333844654</v>
      </c>
      <c r="I354" s="278">
        <v>1.1379883248497349</v>
      </c>
      <c r="J354" s="278">
        <f t="shared" ref="J354:J357" si="157">SUM(G354:I354)</f>
        <v>24.073017729214655</v>
      </c>
      <c r="K354" s="279"/>
      <c r="L354" s="278">
        <v>14.482652762426984</v>
      </c>
      <c r="M354" s="278">
        <v>10.48589578465271</v>
      </c>
      <c r="N354" s="278">
        <v>1.4661244639067461</v>
      </c>
      <c r="O354" s="278">
        <f t="shared" si="156"/>
        <v>26.434673010986437</v>
      </c>
    </row>
    <row r="355" spans="1:15" s="212" customFormat="1">
      <c r="A355" s="213" t="str">
        <f>name!E$10</f>
        <v>Sales and customer service occupations</v>
      </c>
      <c r="B355" s="278">
        <v>0.36822976732028634</v>
      </c>
      <c r="C355" s="278">
        <v>0.40121204658604426</v>
      </c>
      <c r="D355" s="278">
        <v>5.6907015058791456E-2</v>
      </c>
      <c r="E355" s="278">
        <f t="shared" si="154"/>
        <v>0.82634882896512207</v>
      </c>
      <c r="F355" s="279"/>
      <c r="G355" s="278">
        <v>0.38573073280802406</v>
      </c>
      <c r="H355" s="278">
        <v>0.41775613994605354</v>
      </c>
      <c r="I355" s="278">
        <v>5.963086379238805E-2</v>
      </c>
      <c r="J355" s="278">
        <f t="shared" si="157"/>
        <v>0.86311773654646562</v>
      </c>
      <c r="K355" s="279"/>
      <c r="L355" s="278">
        <v>0.42229519704492907</v>
      </c>
      <c r="M355" s="278">
        <v>0.44312022193630674</v>
      </c>
      <c r="N355" s="278">
        <v>6.0394860437215016E-2</v>
      </c>
      <c r="O355" s="278">
        <f t="shared" si="156"/>
        <v>0.92581027941845073</v>
      </c>
    </row>
    <row r="356" spans="1:15" s="212" customFormat="1">
      <c r="A356" s="213" t="str">
        <f>name!E$11</f>
        <v>Process, plant and machine operatives</v>
      </c>
      <c r="B356" s="278">
        <v>0.16216600219335728</v>
      </c>
      <c r="C356" s="278">
        <v>0.23644895980644431</v>
      </c>
      <c r="D356" s="278">
        <v>2.7948325479206813E-2</v>
      </c>
      <c r="E356" s="278">
        <f t="shared" si="154"/>
        <v>0.42656328747900846</v>
      </c>
      <c r="F356" s="279"/>
      <c r="G356" s="278">
        <v>0.12299305040525824</v>
      </c>
      <c r="H356" s="278">
        <v>0.21481254284215093</v>
      </c>
      <c r="I356" s="278">
        <v>7.2661732778747157E-2</v>
      </c>
      <c r="J356" s="278">
        <f t="shared" si="157"/>
        <v>0.41046732602615632</v>
      </c>
      <c r="K356" s="279"/>
      <c r="L356" s="278">
        <v>8.5539569018826075E-2</v>
      </c>
      <c r="M356" s="278">
        <v>0.15819194299491166</v>
      </c>
      <c r="N356" s="278">
        <v>8.3797211750757411E-2</v>
      </c>
      <c r="O356" s="278">
        <f t="shared" si="156"/>
        <v>0.32752872376449516</v>
      </c>
    </row>
    <row r="357" spans="1:15" s="212" customFormat="1">
      <c r="A357" s="213" t="str">
        <f>name!E$12</f>
        <v>Elementary occupations</v>
      </c>
      <c r="B357" s="278">
        <v>0.44560840227342396</v>
      </c>
      <c r="C357" s="278">
        <v>1.0264090632209084</v>
      </c>
      <c r="D357" s="278">
        <v>7.3385170464764213E-2</v>
      </c>
      <c r="E357" s="278">
        <f t="shared" si="154"/>
        <v>1.5454026359590964</v>
      </c>
      <c r="F357" s="279"/>
      <c r="G357" s="278">
        <v>0.38018226370477493</v>
      </c>
      <c r="H357" s="278">
        <v>0.880877761919309</v>
      </c>
      <c r="I357" s="278">
        <v>0.11827684395843181</v>
      </c>
      <c r="J357" s="278">
        <f t="shared" si="157"/>
        <v>1.3793368695825157</v>
      </c>
      <c r="K357" s="279"/>
      <c r="L357" s="278">
        <v>0.27167586855231018</v>
      </c>
      <c r="M357" s="278">
        <v>0.3698456923555492</v>
      </c>
      <c r="N357" s="278">
        <v>0.1346081273446868</v>
      </c>
      <c r="O357" s="278">
        <f t="shared" si="156"/>
        <v>0.77612968825254613</v>
      </c>
    </row>
    <row r="358" spans="1:15" s="212" customFormat="1">
      <c r="A358" s="213"/>
      <c r="B358" s="278"/>
      <c r="C358" s="278"/>
      <c r="D358" s="278"/>
      <c r="E358" s="278"/>
      <c r="F358" s="279"/>
      <c r="G358" s="278"/>
      <c r="H358" s="278"/>
      <c r="I358" s="278"/>
      <c r="J358" s="278"/>
      <c r="K358" s="279"/>
      <c r="L358" s="278"/>
      <c r="M358" s="278"/>
      <c r="N358" s="278"/>
      <c r="O358" s="278"/>
    </row>
    <row r="359" spans="1:15" s="212" customFormat="1">
      <c r="A359" s="220" t="s">
        <v>117</v>
      </c>
      <c r="B359" s="282">
        <f>SUM(B349:B357)</f>
        <v>32.628830912666587</v>
      </c>
      <c r="C359" s="282">
        <f t="shared" ref="C359:E359" si="158">SUM(C349:C357)</f>
        <v>24.189252722660736</v>
      </c>
      <c r="D359" s="282">
        <f t="shared" si="158"/>
        <v>4.0489163646727757</v>
      </c>
      <c r="E359" s="282">
        <f t="shared" si="158"/>
        <v>60.867000000000111</v>
      </c>
      <c r="F359" s="282"/>
      <c r="G359" s="282">
        <f t="shared" ref="G359:J359" si="159">SUM(G349:G357)</f>
        <v>38.636787269629693</v>
      </c>
      <c r="H359" s="282">
        <f t="shared" si="159"/>
        <v>28.263625054701684</v>
      </c>
      <c r="I359" s="282">
        <f t="shared" si="159"/>
        <v>4.8695876756685816</v>
      </c>
      <c r="J359" s="282">
        <f t="shared" si="159"/>
        <v>71.769999999999968</v>
      </c>
      <c r="K359" s="282"/>
      <c r="L359" s="282">
        <f t="shared" ref="L359:O359" si="160">SUM(L349:L357)</f>
        <v>46.446008164463585</v>
      </c>
      <c r="M359" s="282">
        <f t="shared" si="160"/>
        <v>29.28885476059699</v>
      </c>
      <c r="N359" s="282">
        <f t="shared" si="160"/>
        <v>5.468137074939472</v>
      </c>
      <c r="O359" s="282">
        <f t="shared" si="160"/>
        <v>81.20300000000006</v>
      </c>
    </row>
    <row r="360" spans="1:15" s="212" customFormat="1">
      <c r="A360" s="213"/>
      <c r="B360" s="213"/>
      <c r="C360" s="213"/>
      <c r="D360" s="213"/>
      <c r="E360" s="213"/>
      <c r="F360" s="213"/>
      <c r="G360" s="213"/>
      <c r="H360" s="213"/>
      <c r="I360" s="213"/>
      <c r="J360" s="213"/>
      <c r="K360" s="213"/>
      <c r="L360" s="213"/>
      <c r="M360" s="213"/>
      <c r="N360" s="216"/>
    </row>
    <row r="361" spans="1:15" s="212" customFormat="1">
      <c r="A361" s="213"/>
      <c r="B361" s="213"/>
      <c r="C361" s="213"/>
      <c r="D361" s="213"/>
      <c r="E361" s="213"/>
      <c r="F361" s="213"/>
      <c r="G361" s="213"/>
      <c r="H361" s="213"/>
      <c r="I361" s="213"/>
      <c r="J361" s="213"/>
      <c r="K361" s="213"/>
      <c r="L361" s="213"/>
      <c r="M361" s="213"/>
      <c r="N361" s="216"/>
      <c r="O361" s="227" t="s">
        <v>112</v>
      </c>
    </row>
    <row r="362" spans="1:15" s="212" customFormat="1">
      <c r="A362" s="218"/>
      <c r="B362" s="218"/>
      <c r="C362" s="218"/>
      <c r="D362" s="218"/>
      <c r="E362" s="218"/>
      <c r="F362" s="218"/>
      <c r="G362" s="218"/>
      <c r="H362" s="218"/>
      <c r="I362" s="218"/>
      <c r="J362" s="218"/>
      <c r="K362" s="218"/>
      <c r="L362" s="218"/>
      <c r="M362" s="218"/>
      <c r="N362" s="218"/>
      <c r="O362" s="218"/>
    </row>
    <row r="363" spans="1:15" s="212" customFormat="1">
      <c r="A363" s="217" t="str">
        <f>name!B24</f>
        <v>Arts and entertainment</v>
      </c>
      <c r="B363" s="349">
        <f>$B$6</f>
        <v>2015</v>
      </c>
      <c r="C363" s="349"/>
      <c r="D363" s="349"/>
      <c r="E363" s="349"/>
      <c r="F363" s="239"/>
      <c r="G363" s="349">
        <f>$G$6</f>
        <v>2020</v>
      </c>
      <c r="H363" s="349"/>
      <c r="I363" s="349"/>
      <c r="J363" s="349"/>
      <c r="K363" s="239"/>
      <c r="L363" s="349">
        <f>$L$6</f>
        <v>2035</v>
      </c>
      <c r="M363" s="349"/>
      <c r="N363" s="349"/>
      <c r="O363" s="349"/>
    </row>
    <row r="364" spans="1:15" s="212" customFormat="1">
      <c r="A364" s="230"/>
      <c r="B364" s="244" t="str">
        <f>$B$7</f>
        <v>FT</v>
      </c>
      <c r="C364" s="244" t="str">
        <f>$C$7</f>
        <v>PT</v>
      </c>
      <c r="D364" s="244" t="str">
        <f>$D$7</f>
        <v>SE</v>
      </c>
      <c r="E364" s="244" t="str">
        <f>$E$7</f>
        <v>Total</v>
      </c>
      <c r="F364" s="244"/>
      <c r="G364" s="244" t="str">
        <f>$G$7</f>
        <v>FT</v>
      </c>
      <c r="H364" s="244" t="str">
        <f>$H$7</f>
        <v>PT</v>
      </c>
      <c r="I364" s="244" t="str">
        <f>$I$7</f>
        <v>SE</v>
      </c>
      <c r="J364" s="244" t="str">
        <f>$J$7</f>
        <v>Total</v>
      </c>
      <c r="K364" s="244"/>
      <c r="L364" s="244" t="str">
        <f>$L$7</f>
        <v>FT</v>
      </c>
      <c r="M364" s="244" t="str">
        <f>$M$7</f>
        <v>PT</v>
      </c>
      <c r="N364" s="244" t="str">
        <f>$N$7</f>
        <v>SE</v>
      </c>
      <c r="O364" s="244" t="str">
        <f>$O$7</f>
        <v>Total</v>
      </c>
    </row>
    <row r="365" spans="1:15" s="212" customFormat="1">
      <c r="A365" s="234"/>
      <c r="B365" s="215"/>
      <c r="C365" s="215"/>
      <c r="D365" s="215"/>
      <c r="E365" s="215"/>
      <c r="F365" s="215"/>
      <c r="G365" s="215"/>
      <c r="H365" s="215"/>
      <c r="I365" s="215"/>
      <c r="J365" s="215"/>
      <c r="K365" s="215"/>
      <c r="L365" s="215"/>
      <c r="M365" s="215"/>
      <c r="N365" s="215"/>
      <c r="O365" s="215"/>
    </row>
    <row r="366" spans="1:15" s="212" customFormat="1">
      <c r="A366" s="213" t="str">
        <f>name!E$4</f>
        <v>Managers, directors and senior officials</v>
      </c>
      <c r="B366" s="278">
        <v>0.48396494606330159</v>
      </c>
      <c r="C366" s="278">
        <v>0.15041664401868765</v>
      </c>
      <c r="D366" s="278">
        <v>0.1973057457501097</v>
      </c>
      <c r="E366" s="278">
        <f>SUM(B366:D366)</f>
        <v>0.83168733583209897</v>
      </c>
      <c r="F366" s="279"/>
      <c r="G366" s="278">
        <v>0.55161690615211345</v>
      </c>
      <c r="H366" s="278">
        <v>0.19679014450421398</v>
      </c>
      <c r="I366" s="278">
        <v>0.20737016415989287</v>
      </c>
      <c r="J366" s="278">
        <f>SUM(G366:I366)</f>
        <v>0.95577721481622024</v>
      </c>
      <c r="K366" s="279"/>
      <c r="L366" s="278">
        <v>0.5329208076903772</v>
      </c>
      <c r="M366" s="278">
        <v>0.24609594357134096</v>
      </c>
      <c r="N366" s="278">
        <v>0.19629860551042616</v>
      </c>
      <c r="O366" s="278">
        <f>SUM(L366:N366)</f>
        <v>0.9753153567721442</v>
      </c>
    </row>
    <row r="367" spans="1:15" s="212" customFormat="1">
      <c r="A367" s="213" t="str">
        <f>name!E$5</f>
        <v>Professional occupations</v>
      </c>
      <c r="B367" s="278">
        <v>0.63791812595324038</v>
      </c>
      <c r="C367" s="278">
        <v>0.36301601261004685</v>
      </c>
      <c r="D367" s="278">
        <v>0.63394830243334388</v>
      </c>
      <c r="E367" s="278">
        <f t="shared" ref="E367:E374" si="161">SUM(B367:D367)</f>
        <v>1.6348824409966312</v>
      </c>
      <c r="F367" s="279"/>
      <c r="G367" s="278">
        <v>0.87911773373547042</v>
      </c>
      <c r="H367" s="278">
        <v>0.49630991646935102</v>
      </c>
      <c r="I367" s="278">
        <v>0.62320388079937816</v>
      </c>
      <c r="J367" s="278">
        <f t="shared" ref="J367:J369" si="162">SUM(G367:I367)</f>
        <v>1.9986315310041998</v>
      </c>
      <c r="K367" s="279"/>
      <c r="L367" s="278">
        <v>1.0650570480256838</v>
      </c>
      <c r="M367" s="278">
        <v>0.72150953371892801</v>
      </c>
      <c r="N367" s="278">
        <v>0.5823025636644249</v>
      </c>
      <c r="O367" s="278">
        <f t="shared" ref="O367:O374" si="163">SUM(L367:N367)</f>
        <v>2.3688691454090365</v>
      </c>
    </row>
    <row r="368" spans="1:15" s="212" customFormat="1">
      <c r="A368" s="213" t="str">
        <f>name!E$6</f>
        <v>Associate professional occupations</v>
      </c>
      <c r="B368" s="278">
        <v>0.92917206021522047</v>
      </c>
      <c r="C368" s="278">
        <v>0.76149569241625981</v>
      </c>
      <c r="D368" s="278">
        <v>1.7924034164603517</v>
      </c>
      <c r="E368" s="278">
        <f t="shared" si="161"/>
        <v>3.4830711690918319</v>
      </c>
      <c r="F368" s="279"/>
      <c r="G368" s="278">
        <v>1.1169673087990468</v>
      </c>
      <c r="H368" s="278">
        <v>0.79843255191720186</v>
      </c>
      <c r="I368" s="278">
        <v>1.8117572058900147</v>
      </c>
      <c r="J368" s="278">
        <f t="shared" si="162"/>
        <v>3.7271570666062637</v>
      </c>
      <c r="K368" s="279"/>
      <c r="L368" s="278">
        <v>1.0618550027346443</v>
      </c>
      <c r="M368" s="278">
        <v>0.80921080118501199</v>
      </c>
      <c r="N368" s="278">
        <v>1.7017254837805638</v>
      </c>
      <c r="O368" s="278">
        <f t="shared" si="163"/>
        <v>3.5727912877002201</v>
      </c>
    </row>
    <row r="369" spans="1:15" s="212" customFormat="1">
      <c r="A369" s="213" t="str">
        <f>name!E$7</f>
        <v>Administrative and secretarial occupations</v>
      </c>
      <c r="B369" s="278">
        <v>0.50434448713509805</v>
      </c>
      <c r="C369" s="278">
        <v>1.2430611261615938</v>
      </c>
      <c r="D369" s="278">
        <v>4.9161840128618128E-2</v>
      </c>
      <c r="E369" s="278">
        <f t="shared" si="161"/>
        <v>1.7965674534253098</v>
      </c>
      <c r="F369" s="279"/>
      <c r="G369" s="278">
        <v>0.52404266398358934</v>
      </c>
      <c r="H369" s="278">
        <v>1.2177734572840817</v>
      </c>
      <c r="I369" s="278">
        <v>3.8072044953304199E-2</v>
      </c>
      <c r="J369" s="278">
        <f t="shared" si="162"/>
        <v>1.7798881662209753</v>
      </c>
      <c r="K369" s="279"/>
      <c r="L369" s="278">
        <v>0.50911134163898697</v>
      </c>
      <c r="M369" s="278">
        <v>1.2616693784557869</v>
      </c>
      <c r="N369" s="278">
        <v>3.4865317307842585E-2</v>
      </c>
      <c r="O369" s="278">
        <f t="shared" si="163"/>
        <v>1.8056460374026164</v>
      </c>
    </row>
    <row r="370" spans="1:15" s="212" customFormat="1">
      <c r="A370" s="213" t="str">
        <f>name!E$8</f>
        <v>Skilled trades occupations</v>
      </c>
      <c r="B370" s="278">
        <v>0.24354220111473324</v>
      </c>
      <c r="C370" s="278">
        <v>0.18877916475903012</v>
      </c>
      <c r="D370" s="278">
        <v>0.22839576575379203</v>
      </c>
      <c r="E370" s="278">
        <f t="shared" si="161"/>
        <v>0.66071713162755541</v>
      </c>
      <c r="F370" s="279"/>
      <c r="G370" s="278">
        <v>0.21116916038489186</v>
      </c>
      <c r="H370" s="278">
        <v>0.11996700618352327</v>
      </c>
      <c r="I370" s="278">
        <v>0.20766785032808197</v>
      </c>
      <c r="J370" s="278">
        <f>SUM(G370:I370)</f>
        <v>0.53880401689649715</v>
      </c>
      <c r="K370" s="279"/>
      <c r="L370" s="278">
        <v>0.14455458906965474</v>
      </c>
      <c r="M370" s="278">
        <v>0.15674090253458098</v>
      </c>
      <c r="N370" s="278">
        <v>0.17709593086895489</v>
      </c>
      <c r="O370" s="278">
        <f t="shared" si="163"/>
        <v>0.47839142247319066</v>
      </c>
    </row>
    <row r="371" spans="1:15" s="212" customFormat="1">
      <c r="A371" s="213" t="str">
        <f>name!E$9</f>
        <v>Caring, leisure and other service occupations</v>
      </c>
      <c r="B371" s="278">
        <v>0.52003235574021833</v>
      </c>
      <c r="C371" s="278">
        <v>0.76535487151137449</v>
      </c>
      <c r="D371" s="278">
        <v>8.4956994354355428E-2</v>
      </c>
      <c r="E371" s="278">
        <f t="shared" si="161"/>
        <v>1.370344221605948</v>
      </c>
      <c r="F371" s="279"/>
      <c r="G371" s="278">
        <v>0.46392826233792045</v>
      </c>
      <c r="H371" s="278">
        <v>0.63549626845742369</v>
      </c>
      <c r="I371" s="278">
        <v>6.7252885543064495E-2</v>
      </c>
      <c r="J371" s="278">
        <f t="shared" ref="J371:J374" si="164">SUM(G371:I371)</f>
        <v>1.1666774163384086</v>
      </c>
      <c r="K371" s="279"/>
      <c r="L371" s="278">
        <v>0.38522711253025516</v>
      </c>
      <c r="M371" s="278">
        <v>0.62346935708398132</v>
      </c>
      <c r="N371" s="278">
        <v>6.2740615861253166E-2</v>
      </c>
      <c r="O371" s="278">
        <f t="shared" si="163"/>
        <v>1.0714370854754895</v>
      </c>
    </row>
    <row r="372" spans="1:15" s="212" customFormat="1">
      <c r="A372" s="213" t="str">
        <f>name!E$10</f>
        <v>Sales and customer service occupations</v>
      </c>
      <c r="B372" s="278">
        <v>0.2291559883760626</v>
      </c>
      <c r="C372" s="278">
        <v>0.54317662515276233</v>
      </c>
      <c r="D372" s="278">
        <v>4.6776235662399336E-2</v>
      </c>
      <c r="E372" s="278">
        <f t="shared" si="161"/>
        <v>0.81910884919122418</v>
      </c>
      <c r="F372" s="279"/>
      <c r="G372" s="278">
        <v>0.2303563912484824</v>
      </c>
      <c r="H372" s="278">
        <v>0.46411545328037757</v>
      </c>
      <c r="I372" s="278">
        <v>3.413571561949031E-2</v>
      </c>
      <c r="J372" s="278">
        <f t="shared" si="164"/>
        <v>0.72860756014835037</v>
      </c>
      <c r="K372" s="279"/>
      <c r="L372" s="278">
        <v>0.22386915407581023</v>
      </c>
      <c r="M372" s="278">
        <v>0.60852045971176993</v>
      </c>
      <c r="N372" s="278">
        <v>3.0237367792230633E-2</v>
      </c>
      <c r="O372" s="278">
        <f t="shared" si="163"/>
        <v>0.86262698157981077</v>
      </c>
    </row>
    <row r="373" spans="1:15" s="212" customFormat="1">
      <c r="A373" s="213" t="str">
        <f>name!E$11</f>
        <v>Process, plant and machine operatives</v>
      </c>
      <c r="B373" s="278">
        <v>5.1634774131947288E-2</v>
      </c>
      <c r="C373" s="278">
        <v>5.0337909806455132E-2</v>
      </c>
      <c r="D373" s="278">
        <v>1.3194775496457313E-2</v>
      </c>
      <c r="E373" s="278">
        <f t="shared" si="161"/>
        <v>0.11516745943485973</v>
      </c>
      <c r="F373" s="279"/>
      <c r="G373" s="278">
        <v>3.9529189487538904E-2</v>
      </c>
      <c r="H373" s="278">
        <v>3.6615304813506097E-2</v>
      </c>
      <c r="I373" s="278">
        <v>1.3576224273203518E-2</v>
      </c>
      <c r="J373" s="278">
        <f t="shared" si="164"/>
        <v>8.9720718574248515E-2</v>
      </c>
      <c r="K373" s="279"/>
      <c r="L373" s="278">
        <v>3.0462405199818739E-2</v>
      </c>
      <c r="M373" s="278">
        <v>4.0536637422008769E-2</v>
      </c>
      <c r="N373" s="278">
        <v>1.4327303846008525E-2</v>
      </c>
      <c r="O373" s="278">
        <f t="shared" si="163"/>
        <v>8.5326346467836031E-2</v>
      </c>
    </row>
    <row r="374" spans="1:15" s="212" customFormat="1">
      <c r="A374" s="213" t="str">
        <f>name!E$12</f>
        <v>Elementary occupations</v>
      </c>
      <c r="B374" s="278">
        <v>0.23430310870815674</v>
      </c>
      <c r="C374" s="278">
        <v>0.90565742895013579</v>
      </c>
      <c r="D374" s="278">
        <v>5.0493401136265222E-2</v>
      </c>
      <c r="E374" s="278">
        <f t="shared" si="161"/>
        <v>1.1904539387945576</v>
      </c>
      <c r="F374" s="279"/>
      <c r="G374" s="278">
        <v>0.19634547597503457</v>
      </c>
      <c r="H374" s="278">
        <v>0.69227304375826104</v>
      </c>
      <c r="I374" s="278">
        <v>3.611778966153955E-2</v>
      </c>
      <c r="J374" s="278">
        <f t="shared" si="164"/>
        <v>0.9247363093948352</v>
      </c>
      <c r="K374" s="279"/>
      <c r="L374" s="278">
        <v>0.19753598376783618</v>
      </c>
      <c r="M374" s="278">
        <v>0.50599568011983498</v>
      </c>
      <c r="N374" s="278">
        <v>2.906467283198038E-2</v>
      </c>
      <c r="O374" s="278">
        <f t="shared" si="163"/>
        <v>0.73259633671965152</v>
      </c>
    </row>
    <row r="375" spans="1:15" s="212" customFormat="1">
      <c r="A375" s="213"/>
      <c r="B375" s="278"/>
      <c r="C375" s="278"/>
      <c r="D375" s="278"/>
      <c r="E375" s="278"/>
      <c r="F375" s="279"/>
      <c r="G375" s="278"/>
      <c r="H375" s="278"/>
      <c r="I375" s="278"/>
      <c r="J375" s="278"/>
      <c r="K375" s="279"/>
      <c r="L375" s="278"/>
      <c r="M375" s="278"/>
      <c r="N375" s="278"/>
      <c r="O375" s="278"/>
    </row>
    <row r="376" spans="1:15" s="212" customFormat="1">
      <c r="A376" s="220" t="s">
        <v>117</v>
      </c>
      <c r="B376" s="282">
        <f>SUM(B366:B374)</f>
        <v>3.8340680474379791</v>
      </c>
      <c r="C376" s="282">
        <f t="shared" ref="C376:E376" si="165">SUM(C366:C374)</f>
        <v>4.971295475386345</v>
      </c>
      <c r="D376" s="282">
        <f t="shared" si="165"/>
        <v>3.0966364771756925</v>
      </c>
      <c r="E376" s="282">
        <f t="shared" si="165"/>
        <v>11.902000000000017</v>
      </c>
      <c r="F376" s="282"/>
      <c r="G376" s="282">
        <f t="shared" ref="G376:J376" si="166">SUM(G366:G374)</f>
        <v>4.2130730921040884</v>
      </c>
      <c r="H376" s="282">
        <f t="shared" si="166"/>
        <v>4.6577731466679406</v>
      </c>
      <c r="I376" s="282">
        <f t="shared" si="166"/>
        <v>3.0391537612279702</v>
      </c>
      <c r="J376" s="282">
        <f t="shared" si="166"/>
        <v>11.909999999999998</v>
      </c>
      <c r="K376" s="282"/>
      <c r="L376" s="282">
        <f t="shared" ref="L376:O376" si="167">SUM(L366:L374)</f>
        <v>4.150593444733067</v>
      </c>
      <c r="M376" s="282">
        <f t="shared" si="167"/>
        <v>4.9737486938032438</v>
      </c>
      <c r="N376" s="282">
        <f t="shared" si="167"/>
        <v>2.828657861463685</v>
      </c>
      <c r="O376" s="282">
        <f t="shared" si="167"/>
        <v>11.952999999999994</v>
      </c>
    </row>
    <row r="377" spans="1:15" s="212" customFormat="1">
      <c r="A377" s="213"/>
      <c r="B377" s="213"/>
      <c r="C377" s="213"/>
      <c r="D377" s="213"/>
      <c r="E377" s="213"/>
      <c r="F377" s="213"/>
      <c r="G377" s="213"/>
      <c r="H377" s="213"/>
      <c r="I377" s="213"/>
      <c r="J377" s="213"/>
      <c r="K377" s="213"/>
      <c r="L377" s="213"/>
      <c r="M377" s="213"/>
      <c r="N377" s="216"/>
    </row>
    <row r="378" spans="1:15" s="212" customFormat="1">
      <c r="A378" s="213"/>
      <c r="B378" s="213"/>
      <c r="C378" s="213"/>
      <c r="D378" s="213"/>
      <c r="E378" s="213"/>
      <c r="F378" s="213"/>
      <c r="G378" s="213"/>
      <c r="H378" s="213"/>
      <c r="I378" s="213"/>
      <c r="J378" s="213"/>
      <c r="K378" s="213"/>
      <c r="L378" s="213"/>
      <c r="M378" s="213"/>
      <c r="N378" s="216"/>
      <c r="O378" s="227" t="s">
        <v>112</v>
      </c>
    </row>
    <row r="379" spans="1:15" s="212" customFormat="1">
      <c r="A379" s="218"/>
      <c r="B379" s="218"/>
      <c r="C379" s="218"/>
      <c r="D379" s="218"/>
      <c r="E379" s="218"/>
      <c r="F379" s="218"/>
      <c r="G379" s="218"/>
      <c r="H379" s="218"/>
      <c r="I379" s="218"/>
      <c r="J379" s="218"/>
      <c r="K379" s="218"/>
      <c r="L379" s="218"/>
      <c r="M379" s="218"/>
      <c r="N379" s="218"/>
      <c r="O379" s="218"/>
    </row>
    <row r="380" spans="1:15" s="212" customFormat="1">
      <c r="A380" s="217" t="str">
        <f>name!B25</f>
        <v>Other services</v>
      </c>
      <c r="B380" s="349">
        <f>$B$6</f>
        <v>2015</v>
      </c>
      <c r="C380" s="349"/>
      <c r="D380" s="349"/>
      <c r="E380" s="349"/>
      <c r="F380" s="239"/>
      <c r="G380" s="349">
        <f>$G$6</f>
        <v>2020</v>
      </c>
      <c r="H380" s="349"/>
      <c r="I380" s="349"/>
      <c r="J380" s="349"/>
      <c r="K380" s="239"/>
      <c r="L380" s="349">
        <f>$L$6</f>
        <v>2035</v>
      </c>
      <c r="M380" s="349"/>
      <c r="N380" s="349"/>
      <c r="O380" s="349"/>
    </row>
    <row r="381" spans="1:15" s="212" customFormat="1">
      <c r="A381" s="230"/>
      <c r="B381" s="244" t="str">
        <f>$B$7</f>
        <v>FT</v>
      </c>
      <c r="C381" s="244" t="str">
        <f>$C$7</f>
        <v>PT</v>
      </c>
      <c r="D381" s="244" t="str">
        <f>$D$7</f>
        <v>SE</v>
      </c>
      <c r="E381" s="244" t="str">
        <f>$E$7</f>
        <v>Total</v>
      </c>
      <c r="F381" s="244"/>
      <c r="G381" s="244" t="str">
        <f>$G$7</f>
        <v>FT</v>
      </c>
      <c r="H381" s="244" t="str">
        <f>$H$7</f>
        <v>PT</v>
      </c>
      <c r="I381" s="244" t="str">
        <f>$I$7</f>
        <v>SE</v>
      </c>
      <c r="J381" s="244" t="str">
        <f>$J$7</f>
        <v>Total</v>
      </c>
      <c r="K381" s="244"/>
      <c r="L381" s="244" t="str">
        <f>$L$7</f>
        <v>FT</v>
      </c>
      <c r="M381" s="244" t="str">
        <f>$M$7</f>
        <v>PT</v>
      </c>
      <c r="N381" s="244" t="str">
        <f>$N$7</f>
        <v>SE</v>
      </c>
      <c r="O381" s="244" t="str">
        <f>$O$7</f>
        <v>Total</v>
      </c>
    </row>
    <row r="382" spans="1:15" s="212" customFormat="1">
      <c r="A382" s="234"/>
      <c r="B382" s="215"/>
      <c r="C382" s="215"/>
      <c r="D382" s="215"/>
      <c r="E382" s="215"/>
      <c r="F382" s="215"/>
      <c r="G382" s="215"/>
      <c r="H382" s="215"/>
      <c r="I382" s="215"/>
      <c r="J382" s="215"/>
      <c r="K382" s="215"/>
      <c r="L382" s="215"/>
      <c r="M382" s="215"/>
      <c r="N382" s="215"/>
      <c r="O382" s="215"/>
    </row>
    <row r="383" spans="1:15" s="212" customFormat="1">
      <c r="A383" s="213" t="str">
        <f>name!E$4</f>
        <v>Managers, directors and senior officials</v>
      </c>
      <c r="B383" s="278">
        <v>0.68891958911273765</v>
      </c>
      <c r="C383" s="278">
        <v>0.11734158024976003</v>
      </c>
      <c r="D383" s="278">
        <v>0.48913556505855926</v>
      </c>
      <c r="E383" s="278">
        <f>SUM(B383:D383)</f>
        <v>1.2953967344210571</v>
      </c>
      <c r="F383" s="279"/>
      <c r="G383" s="278">
        <v>0.56663349576809352</v>
      </c>
      <c r="H383" s="278">
        <v>0.15624789857810095</v>
      </c>
      <c r="I383" s="278">
        <v>0.44854339905326546</v>
      </c>
      <c r="J383" s="278">
        <f>SUM(G383:I383)</f>
        <v>1.1714247933994599</v>
      </c>
      <c r="K383" s="279"/>
      <c r="L383" s="278">
        <v>0.55312914972770666</v>
      </c>
      <c r="M383" s="278">
        <v>0.17026290308802999</v>
      </c>
      <c r="N383" s="278">
        <v>0.40563093074854134</v>
      </c>
      <c r="O383" s="278">
        <f>SUM(L383:N383)</f>
        <v>1.129022983564278</v>
      </c>
    </row>
    <row r="384" spans="1:15" s="212" customFormat="1">
      <c r="A384" s="213" t="str">
        <f>name!E$5</f>
        <v>Professional occupations</v>
      </c>
      <c r="B384" s="278">
        <v>1.38786506336556</v>
      </c>
      <c r="C384" s="278">
        <v>0.4261977664141493</v>
      </c>
      <c r="D384" s="278">
        <v>0.83865305042686056</v>
      </c>
      <c r="E384" s="278">
        <f t="shared" ref="E384:E391" si="168">SUM(B384:D384)</f>
        <v>2.6527158802065696</v>
      </c>
      <c r="F384" s="279"/>
      <c r="G384" s="278">
        <v>1.4943187176108719</v>
      </c>
      <c r="H384" s="278">
        <v>0.62673078044457942</v>
      </c>
      <c r="I384" s="278">
        <v>0.7970011622081381</v>
      </c>
      <c r="J384" s="278">
        <f t="shared" ref="J384:J386" si="169">SUM(G384:I384)</f>
        <v>2.9180506602635896</v>
      </c>
      <c r="K384" s="279"/>
      <c r="L384" s="278">
        <v>1.6320063410299659</v>
      </c>
      <c r="M384" s="278">
        <v>0.75296803073444019</v>
      </c>
      <c r="N384" s="278">
        <v>0.84854604910621512</v>
      </c>
      <c r="O384" s="278">
        <f t="shared" ref="O384:O391" si="170">SUM(L384:N384)</f>
        <v>3.2335204208706214</v>
      </c>
    </row>
    <row r="385" spans="1:15" s="212" customFormat="1">
      <c r="A385" s="213" t="str">
        <f>name!E$6</f>
        <v>Associate professional occupations</v>
      </c>
      <c r="B385" s="278">
        <v>0.79579492430832866</v>
      </c>
      <c r="C385" s="278">
        <v>0.45384857489522074</v>
      </c>
      <c r="D385" s="278">
        <v>0.71195760261717</v>
      </c>
      <c r="E385" s="278">
        <f t="shared" si="168"/>
        <v>1.9616011018207193</v>
      </c>
      <c r="F385" s="279"/>
      <c r="G385" s="278">
        <v>0.72194397243781272</v>
      </c>
      <c r="H385" s="278">
        <v>0.51943934354659116</v>
      </c>
      <c r="I385" s="278">
        <v>0.66346553982157841</v>
      </c>
      <c r="J385" s="278">
        <f t="shared" si="169"/>
        <v>1.9048488558059824</v>
      </c>
      <c r="K385" s="279"/>
      <c r="L385" s="278">
        <v>0.79729693385530709</v>
      </c>
      <c r="M385" s="278">
        <v>0.55564179918141587</v>
      </c>
      <c r="N385" s="278">
        <v>0.68864262502101303</v>
      </c>
      <c r="O385" s="278">
        <f t="shared" si="170"/>
        <v>2.0415813580577358</v>
      </c>
    </row>
    <row r="386" spans="1:15" s="212" customFormat="1">
      <c r="A386" s="213" t="str">
        <f>name!E$7</f>
        <v>Administrative and secretarial occupations</v>
      </c>
      <c r="B386" s="278">
        <v>0.72811623911180834</v>
      </c>
      <c r="C386" s="278">
        <v>0.898521885655724</v>
      </c>
      <c r="D386" s="278">
        <v>0.20410437272233242</v>
      </c>
      <c r="E386" s="278">
        <f t="shared" si="168"/>
        <v>1.8307424974898647</v>
      </c>
      <c r="F386" s="279"/>
      <c r="G386" s="278">
        <v>0.60795811260014643</v>
      </c>
      <c r="H386" s="278">
        <v>0.8312324596613736</v>
      </c>
      <c r="I386" s="278">
        <v>0.21500307778427899</v>
      </c>
      <c r="J386" s="278">
        <f t="shared" si="169"/>
        <v>1.654193650045799</v>
      </c>
      <c r="K386" s="279"/>
      <c r="L386" s="278">
        <v>0.50601591267052093</v>
      </c>
      <c r="M386" s="278">
        <v>0.96819484758700192</v>
      </c>
      <c r="N386" s="278">
        <v>0.16055916550355004</v>
      </c>
      <c r="O386" s="278">
        <f t="shared" si="170"/>
        <v>1.6347699257610731</v>
      </c>
    </row>
    <row r="387" spans="1:15" s="212" customFormat="1">
      <c r="A387" s="213" t="str">
        <f>name!E$8</f>
        <v>Skilled trades occupations</v>
      </c>
      <c r="B387" s="278">
        <v>0.220349785916654</v>
      </c>
      <c r="C387" s="278">
        <v>0.11849623355872474</v>
      </c>
      <c r="D387" s="278">
        <v>0.21263862492258123</v>
      </c>
      <c r="E387" s="278">
        <f t="shared" si="168"/>
        <v>0.55148464439795997</v>
      </c>
      <c r="F387" s="279"/>
      <c r="G387" s="278">
        <v>0.11431172179293037</v>
      </c>
      <c r="H387" s="278">
        <v>7.8940257479950746E-2</v>
      </c>
      <c r="I387" s="278">
        <v>0.16084255801487984</v>
      </c>
      <c r="J387" s="278">
        <f>SUM(G387:I387)</f>
        <v>0.35409453728776097</v>
      </c>
      <c r="K387" s="279"/>
      <c r="L387" s="278">
        <v>9.2190210656183283E-2</v>
      </c>
      <c r="M387" s="278">
        <v>8.4484600666200838E-2</v>
      </c>
      <c r="N387" s="278">
        <v>0.20900626633841693</v>
      </c>
      <c r="O387" s="278">
        <f t="shared" si="170"/>
        <v>0.38568107766080106</v>
      </c>
    </row>
    <row r="388" spans="1:15" s="212" customFormat="1">
      <c r="A388" s="213" t="str">
        <f>name!E$9</f>
        <v>Caring, leisure and other service occupations</v>
      </c>
      <c r="B388" s="278">
        <v>2.5914628480453823</v>
      </c>
      <c r="C388" s="278">
        <v>1.3948484200634992</v>
      </c>
      <c r="D388" s="278">
        <v>1.5665856767659663</v>
      </c>
      <c r="E388" s="278">
        <f t="shared" si="168"/>
        <v>5.5528969448748473</v>
      </c>
      <c r="F388" s="279"/>
      <c r="G388" s="278">
        <v>1.5615522448360748</v>
      </c>
      <c r="H388" s="278">
        <v>0.68588107231356654</v>
      </c>
      <c r="I388" s="278">
        <v>1.0794573653477175</v>
      </c>
      <c r="J388" s="278">
        <f t="shared" ref="J388:J391" si="171">SUM(G388:I388)</f>
        <v>3.3268906824973588</v>
      </c>
      <c r="K388" s="279"/>
      <c r="L388" s="278">
        <v>1.343736424919852</v>
      </c>
      <c r="M388" s="278">
        <v>0.35724687763748308</v>
      </c>
      <c r="N388" s="278">
        <v>1.0984253395641037</v>
      </c>
      <c r="O388" s="278">
        <f t="shared" si="170"/>
        <v>2.7994086421214388</v>
      </c>
    </row>
    <row r="389" spans="1:15" s="212" customFormat="1">
      <c r="A389" s="213" t="str">
        <f>name!E$10</f>
        <v>Sales and customer service occupations</v>
      </c>
      <c r="B389" s="278">
        <v>0.24481779572452422</v>
      </c>
      <c r="C389" s="278">
        <v>0.28404802458605849</v>
      </c>
      <c r="D389" s="278">
        <v>0.16312785501671404</v>
      </c>
      <c r="E389" s="278">
        <f t="shared" si="168"/>
        <v>0.69199367532729672</v>
      </c>
      <c r="F389" s="279"/>
      <c r="G389" s="278">
        <v>0.15674703043170576</v>
      </c>
      <c r="H389" s="278">
        <v>0.22418303064936598</v>
      </c>
      <c r="I389" s="278">
        <v>9.2710254849098381E-2</v>
      </c>
      <c r="J389" s="278">
        <f t="shared" si="171"/>
        <v>0.47364031593017014</v>
      </c>
      <c r="K389" s="279"/>
      <c r="L389" s="278">
        <v>0.1522988965010082</v>
      </c>
      <c r="M389" s="278">
        <v>0.26969874960828827</v>
      </c>
      <c r="N389" s="278">
        <v>5.5657599627050088E-2</v>
      </c>
      <c r="O389" s="278">
        <f t="shared" si="170"/>
        <v>0.47765524573634655</v>
      </c>
    </row>
    <row r="390" spans="1:15" s="212" customFormat="1">
      <c r="A390" s="213" t="str">
        <f>name!E$11</f>
        <v>Process, plant and machine operatives</v>
      </c>
      <c r="B390" s="278">
        <v>0.22305989851830163</v>
      </c>
      <c r="C390" s="278">
        <v>0.10029184799698328</v>
      </c>
      <c r="D390" s="278">
        <v>5.0299647999611639E-2</v>
      </c>
      <c r="E390" s="278">
        <f t="shared" si="168"/>
        <v>0.37365139451489654</v>
      </c>
      <c r="F390" s="279"/>
      <c r="G390" s="278">
        <v>0.10632463612078905</v>
      </c>
      <c r="H390" s="278">
        <v>6.6637970310142763E-2</v>
      </c>
      <c r="I390" s="278">
        <v>4.7346064914687742E-2</v>
      </c>
      <c r="J390" s="278">
        <f t="shared" si="171"/>
        <v>0.22030867134561954</v>
      </c>
      <c r="K390" s="279"/>
      <c r="L390" s="278">
        <v>8.5656521347169223E-2</v>
      </c>
      <c r="M390" s="278">
        <v>4.6042497967368423E-2</v>
      </c>
      <c r="N390" s="278">
        <v>3.0322923321539855E-2</v>
      </c>
      <c r="O390" s="278">
        <f t="shared" si="170"/>
        <v>0.1620219426360775</v>
      </c>
    </row>
    <row r="391" spans="1:15" s="212" customFormat="1">
      <c r="A391" s="213" t="str">
        <f>name!E$12</f>
        <v>Elementary occupations</v>
      </c>
      <c r="B391" s="278">
        <v>0.55115950481837384</v>
      </c>
      <c r="C391" s="278">
        <v>0.64014658179371964</v>
      </c>
      <c r="D391" s="278">
        <v>0.32221104033469478</v>
      </c>
      <c r="E391" s="278">
        <f t="shared" si="168"/>
        <v>1.5135171269467882</v>
      </c>
      <c r="F391" s="279"/>
      <c r="G391" s="278">
        <v>0.2962469344770331</v>
      </c>
      <c r="H391" s="278">
        <v>0.45536787959041297</v>
      </c>
      <c r="I391" s="278">
        <v>0.17193301935682706</v>
      </c>
      <c r="J391" s="278">
        <f t="shared" si="171"/>
        <v>0.92354783342427316</v>
      </c>
      <c r="K391" s="279"/>
      <c r="L391" s="278">
        <v>0.3493388612862543</v>
      </c>
      <c r="M391" s="278">
        <v>0.25805773661028725</v>
      </c>
      <c r="N391" s="278">
        <v>0.12394180569506903</v>
      </c>
      <c r="O391" s="278">
        <f t="shared" si="170"/>
        <v>0.73133840359161062</v>
      </c>
    </row>
    <row r="392" spans="1:15" s="212" customFormat="1">
      <c r="A392" s="213"/>
      <c r="B392" s="278"/>
      <c r="C392" s="278"/>
      <c r="D392" s="278"/>
      <c r="E392" s="278"/>
      <c r="F392" s="279"/>
      <c r="G392" s="278"/>
      <c r="H392" s="278"/>
      <c r="I392" s="278"/>
      <c r="J392" s="278"/>
      <c r="K392" s="279"/>
      <c r="L392" s="278"/>
      <c r="M392" s="278"/>
      <c r="N392" s="278"/>
      <c r="O392" s="278"/>
    </row>
    <row r="393" spans="1:15" s="212" customFormat="1">
      <c r="A393" s="220" t="s">
        <v>117</v>
      </c>
      <c r="B393" s="282">
        <f>SUM(B383:B391)</f>
        <v>7.4315456489216709</v>
      </c>
      <c r="C393" s="282">
        <f t="shared" ref="C393:E393" si="172">SUM(C383:C391)</f>
        <v>4.4337409152138392</v>
      </c>
      <c r="D393" s="282">
        <f t="shared" si="172"/>
        <v>4.5587134358644912</v>
      </c>
      <c r="E393" s="282">
        <f t="shared" si="172"/>
        <v>16.423999999999999</v>
      </c>
      <c r="F393" s="282"/>
      <c r="G393" s="282">
        <f t="shared" ref="G393:J393" si="173">SUM(G383:G391)</f>
        <v>5.6260368660754576</v>
      </c>
      <c r="H393" s="282">
        <f t="shared" si="173"/>
        <v>3.6446606925740843</v>
      </c>
      <c r="I393" s="282">
        <f t="shared" si="173"/>
        <v>3.6763024413504715</v>
      </c>
      <c r="J393" s="282">
        <f t="shared" si="173"/>
        <v>12.947000000000015</v>
      </c>
      <c r="K393" s="282"/>
      <c r="L393" s="282">
        <f t="shared" ref="L393:O393" si="174">SUM(L383:L391)</f>
        <v>5.5116692519939674</v>
      </c>
      <c r="M393" s="282">
        <f t="shared" si="174"/>
        <v>3.4625980430805163</v>
      </c>
      <c r="N393" s="282">
        <f t="shared" si="174"/>
        <v>3.6207327049255</v>
      </c>
      <c r="O393" s="282">
        <f t="shared" si="174"/>
        <v>12.594999999999983</v>
      </c>
    </row>
    <row r="394" spans="1:15" s="212" customFormat="1">
      <c r="A394" s="213"/>
      <c r="B394" s="213"/>
      <c r="C394" s="213"/>
      <c r="D394" s="213"/>
      <c r="E394" s="213"/>
      <c r="F394" s="213"/>
      <c r="G394" s="213"/>
      <c r="H394" s="213"/>
      <c r="I394" s="213"/>
      <c r="J394" s="213"/>
      <c r="K394" s="213"/>
      <c r="L394" s="213"/>
      <c r="M394" s="213"/>
      <c r="N394" s="216"/>
    </row>
  </sheetData>
  <mergeCells count="69"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  <mergeCell ref="B6:E6"/>
    <mergeCell ref="G6:J6"/>
    <mergeCell ref="L6:O6"/>
    <mergeCell ref="B23:E23"/>
    <mergeCell ref="G23:J23"/>
    <mergeCell ref="L23:O23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210:E210"/>
    <mergeCell ref="G210:J210"/>
    <mergeCell ref="L210:O210"/>
    <mergeCell ref="B227:E227"/>
    <mergeCell ref="G227:J227"/>
    <mergeCell ref="L227:O227"/>
    <mergeCell ref="B244:E244"/>
    <mergeCell ref="G244:J244"/>
    <mergeCell ref="L244:O244"/>
    <mergeCell ref="B261:E261"/>
    <mergeCell ref="G261:J261"/>
    <mergeCell ref="L261:O261"/>
    <mergeCell ref="B278:E278"/>
    <mergeCell ref="G278:J278"/>
    <mergeCell ref="L278:O278"/>
    <mergeCell ref="B295:E295"/>
    <mergeCell ref="G295:J295"/>
    <mergeCell ref="L295:O295"/>
    <mergeCell ref="B312:E312"/>
    <mergeCell ref="G312:J312"/>
    <mergeCell ref="L312:O312"/>
    <mergeCell ref="B329:E329"/>
    <mergeCell ref="G329:J329"/>
    <mergeCell ref="L329:O329"/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>
      <c r="A1" s="18" t="str">
        <f>CONCATENATE("Occupation Table 1  Employment Change by Occupation Group (SOC 2020) and Replacement Demand, ",B$6,"-",F$6,", ",Info!B5)</f>
        <v>Occupation Table 1  Employment Change by Occupation Group (SOC 2020) and Replacement Demand, 2015-2035, Black Country</v>
      </c>
      <c r="L1" s="18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Black Country</v>
      </c>
      <c r="W1" s="18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Black Country</v>
      </c>
    </row>
    <row r="2" spans="1:32">
      <c r="A2" s="1" t="s">
        <v>156</v>
      </c>
    </row>
    <row r="3" spans="1:32">
      <c r="F3" s="16" t="s">
        <v>112</v>
      </c>
      <c r="J3" s="16" t="s">
        <v>112</v>
      </c>
      <c r="Q3" s="16" t="s">
        <v>112</v>
      </c>
      <c r="U3" s="16" t="s">
        <v>112</v>
      </c>
      <c r="AB3" s="16" t="s">
        <v>112</v>
      </c>
      <c r="AF3" s="16" t="s">
        <v>112</v>
      </c>
    </row>
    <row r="4" spans="1:32">
      <c r="A4" s="29"/>
      <c r="B4" s="29"/>
      <c r="C4" s="29"/>
      <c r="D4" s="29"/>
      <c r="E4" s="29"/>
      <c r="F4" s="29"/>
      <c r="H4" s="24" t="str">
        <f>CONCATENATE(D6,"-",F6)</f>
        <v>2020-2035</v>
      </c>
      <c r="I4" s="29"/>
      <c r="J4" s="29"/>
      <c r="L4" s="24" t="s">
        <v>157</v>
      </c>
      <c r="M4" s="29"/>
      <c r="N4" s="29"/>
      <c r="O4" s="29"/>
      <c r="P4" s="29"/>
      <c r="Q4" s="29"/>
      <c r="S4" s="24" t="str">
        <f>CONCATENATE(O6,"-",Q6)</f>
        <v>2020-2035</v>
      </c>
      <c r="T4" s="29"/>
      <c r="U4" s="29"/>
      <c r="W4" s="24" t="s">
        <v>158</v>
      </c>
      <c r="X4" s="29"/>
      <c r="Y4" s="29"/>
      <c r="Z4" s="29"/>
      <c r="AA4" s="29"/>
      <c r="AB4" s="29"/>
      <c r="AD4" s="24" t="str">
        <f>CONCATENATE(Z6,"-",AB6)</f>
        <v>2020-2035</v>
      </c>
      <c r="AE4" s="29"/>
      <c r="AF4" s="29"/>
    </row>
    <row r="5" spans="1:32">
      <c r="H5" s="16" t="s">
        <v>115</v>
      </c>
      <c r="I5" s="16" t="s">
        <v>116</v>
      </c>
      <c r="J5" s="16" t="s">
        <v>117</v>
      </c>
      <c r="S5" s="16" t="s">
        <v>115</v>
      </c>
      <c r="T5" s="16" t="s">
        <v>116</v>
      </c>
      <c r="U5" s="16" t="s">
        <v>117</v>
      </c>
      <c r="AD5" s="16" t="s">
        <v>115</v>
      </c>
      <c r="AE5" s="16" t="s">
        <v>116</v>
      </c>
      <c r="AF5" s="16" t="s">
        <v>117</v>
      </c>
    </row>
    <row r="6" spans="1:32">
      <c r="A6" s="32" t="s">
        <v>113</v>
      </c>
      <c r="B6" s="28">
        <f>'Occ T2'!B6</f>
        <v>2015</v>
      </c>
      <c r="C6" s="28">
        <f>'Occ T2'!C6</f>
        <v>2019</v>
      </c>
      <c r="D6" s="28">
        <f>'Occ T2'!D6</f>
        <v>2020</v>
      </c>
      <c r="E6" s="28">
        <f>'Occ T2'!E6</f>
        <v>2025</v>
      </c>
      <c r="F6" s="28">
        <f>'Occ T2'!F6</f>
        <v>2035</v>
      </c>
      <c r="G6" s="10"/>
      <c r="H6" s="51" t="s">
        <v>118</v>
      </c>
      <c r="I6" s="51" t="s">
        <v>119</v>
      </c>
      <c r="J6" s="51" t="s">
        <v>120</v>
      </c>
      <c r="L6" s="32" t="s">
        <v>113</v>
      </c>
      <c r="M6" s="28">
        <f>'Occ T2'!B6</f>
        <v>2015</v>
      </c>
      <c r="N6" s="28">
        <f>'Occ T2'!C6</f>
        <v>2019</v>
      </c>
      <c r="O6" s="28">
        <f>'Occ T2'!D6</f>
        <v>2020</v>
      </c>
      <c r="P6" s="28">
        <f>'Occ T2'!E6</f>
        <v>2025</v>
      </c>
      <c r="Q6" s="28">
        <f>'Occ T2'!F6</f>
        <v>2035</v>
      </c>
      <c r="R6" s="10"/>
      <c r="S6" s="51" t="s">
        <v>118</v>
      </c>
      <c r="T6" s="51" t="s">
        <v>119</v>
      </c>
      <c r="U6" s="51" t="s">
        <v>120</v>
      </c>
      <c r="W6" s="32" t="s">
        <v>113</v>
      </c>
      <c r="X6" s="28">
        <f>'Occ T2'!B6</f>
        <v>2015</v>
      </c>
      <c r="Y6" s="28">
        <f>'Occ T2'!C6</f>
        <v>2019</v>
      </c>
      <c r="Z6" s="28">
        <f>'Occ T2'!D6</f>
        <v>2020</v>
      </c>
      <c r="AA6" s="28">
        <f>'Occ T2'!E6</f>
        <v>2025</v>
      </c>
      <c r="AB6" s="28">
        <f>'Occ T2'!F6</f>
        <v>2035</v>
      </c>
      <c r="AC6" s="10"/>
      <c r="AD6" s="51" t="s">
        <v>118</v>
      </c>
      <c r="AE6" s="51" t="s">
        <v>119</v>
      </c>
      <c r="AF6" s="51" t="s">
        <v>120</v>
      </c>
    </row>
    <row r="7" spans="1:3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>
      <c r="A8" t="str">
        <f>name!E4</f>
        <v>Managers, directors and senior officials</v>
      </c>
      <c r="B8" s="11">
        <f t="array" ref="B8:B16">MMULT(aggregation!$B$13:$AA$21,'Occ T2'!B8:B33)</f>
        <v>42.392720616000332</v>
      </c>
      <c r="C8" s="11">
        <f t="array" ref="C8:C16">MMULT(aggregation!$B$13:$AA$21,'Occ T2'!C8:C33)</f>
        <v>46.345148009577287</v>
      </c>
      <c r="D8" s="11">
        <f t="array" ref="D8:D16">MMULT(aggregation!$B$13:$AA$21,'Occ T2'!D8:D33)</f>
        <v>47.800367492375784</v>
      </c>
      <c r="E8" s="11">
        <f t="array" ref="E8:E16">MMULT(aggregation!$B$13:$AA$21,'Occ T2'!E8:E33)</f>
        <v>44.836824250943323</v>
      </c>
      <c r="F8" s="11">
        <f t="array" ref="F8:F16">MMULT(aggregation!$B$13:$AA$21,'Occ T2'!F8:F33)</f>
        <v>49.226179286534204</v>
      </c>
      <c r="G8" s="11"/>
      <c r="H8" s="11">
        <f>F8-D8</f>
        <v>1.4258117941584203</v>
      </c>
      <c r="I8" s="11">
        <f t="array" ref="I8:I16">MMULT(aggregation!$B$13:$AA$21,'Occ T2'!I8:I33)</f>
        <v>24.56122570183679</v>
      </c>
      <c r="J8" s="11">
        <f>SUM(H8:I8)</f>
        <v>25.98703749599521</v>
      </c>
      <c r="L8" s="10" t="str">
        <f>name!E4</f>
        <v>Managers, directors and senior officials</v>
      </c>
      <c r="M8" s="11">
        <f t="array" ref="M8:M16">MMULT(aggregation!$B$13:$AA$21,'Occ T2'!M8:M33)</f>
        <v>29.03422481858917</v>
      </c>
      <c r="N8" s="11">
        <f t="array" ref="N8:N16">MMULT(aggregation!$B$13:$AA$21,'Occ T2'!N8:N33)</f>
        <v>31.048103843759243</v>
      </c>
      <c r="O8" s="11">
        <f t="array" ref="O8:O16">MMULT(aggregation!$B$13:$AA$21,'Occ T2'!O8:O33)</f>
        <v>30.928185315803205</v>
      </c>
      <c r="P8" s="11">
        <f t="array" ref="P8:P16">MMULT(aggregation!$B$13:$AA$21,'Occ T2'!P8:P33)</f>
        <v>28.733859674322119</v>
      </c>
      <c r="Q8" s="11">
        <f t="array" ref="Q8:Q16">MMULT(aggregation!$B$13:$AA$21,'Occ T2'!Q8:Q33)</f>
        <v>30.570978228755941</v>
      </c>
      <c r="R8" s="11"/>
      <c r="S8" s="11">
        <f>Q8-O8</f>
        <v>-0.35720708704726434</v>
      </c>
      <c r="T8" s="11">
        <f t="array" ref="T8:T16">MMULT(aggregation!$B$13:$AA$21,'Occ T2'!T8:T33)</f>
        <v>14.1350101934393</v>
      </c>
      <c r="U8" s="11">
        <f>SUM(S8:T8)</f>
        <v>13.777803106392035</v>
      </c>
      <c r="W8" s="10" t="str">
        <f>name!E4</f>
        <v>Managers, directors and senior officials</v>
      </c>
      <c r="X8" s="11">
        <f t="array" ref="X8:X16">MMULT(aggregation!$B$13:$AA$21,'Occ T2'!X8:X33)</f>
        <v>13.35849579741118</v>
      </c>
      <c r="Y8" s="11">
        <f t="array" ref="Y8:Y16">MMULT(aggregation!$B$13:$AA$21,'Occ T2'!Y8:Y33)</f>
        <v>15.297044165818029</v>
      </c>
      <c r="Z8" s="11">
        <f t="array" ref="Z8:Z16">MMULT(aggregation!$B$13:$AA$21,'Occ T2'!Z8:Z33)</f>
        <v>16.872182176572622</v>
      </c>
      <c r="AA8" s="11">
        <f t="array" ref="AA8:AA16">MMULT(aggregation!$B$13:$AA$21,'Occ T2'!AA8:AA33)</f>
        <v>16.102964576621162</v>
      </c>
      <c r="AB8" s="11">
        <f t="array" ref="AB8:AB16">MMULT(aggregation!$B$13:$AA$21,'Occ T2'!AB8:AB33)</f>
        <v>18.65520105777825</v>
      </c>
      <c r="AC8" s="11"/>
      <c r="AD8" s="11">
        <f>AB8-Z8</f>
        <v>1.7830188812056278</v>
      </c>
      <c r="AE8" s="11">
        <f t="array" ref="AE8:AE16">MMULT(aggregation!$B$13:$AA$21,'Occ T2'!AE8:AE33)</f>
        <v>10.42621550839749</v>
      </c>
      <c r="AF8" s="11">
        <f>SUM(AD8:AE8)</f>
        <v>12.209234389603118</v>
      </c>
    </row>
    <row r="9" spans="1:32">
      <c r="A9" t="str">
        <f>name!E5</f>
        <v>Professional occupations</v>
      </c>
      <c r="B9" s="11">
        <v>87.713907644760383</v>
      </c>
      <c r="C9" s="11">
        <v>99.060176549524812</v>
      </c>
      <c r="D9" s="11">
        <v>103.54383323968845</v>
      </c>
      <c r="E9" s="11">
        <v>109.96238805392818</v>
      </c>
      <c r="F9" s="11">
        <v>121.73921749855063</v>
      </c>
      <c r="G9" s="11"/>
      <c r="H9" s="11">
        <f t="shared" ref="H9:H16" si="0">F9-D9</f>
        <v>18.195384258862177</v>
      </c>
      <c r="I9" s="11">
        <v>52.099383225590579</v>
      </c>
      <c r="J9" s="11">
        <f t="shared" ref="J9:J15" si="1">SUM(H9:I9)</f>
        <v>70.294767484452763</v>
      </c>
      <c r="L9" s="10" t="str">
        <f>name!E5</f>
        <v>Professional occupations</v>
      </c>
      <c r="M9" s="11">
        <v>45.534461167396955</v>
      </c>
      <c r="N9" s="11">
        <v>49.460621452471045</v>
      </c>
      <c r="O9" s="11">
        <v>52.03954602942629</v>
      </c>
      <c r="P9" s="11">
        <v>56.901704212382512</v>
      </c>
      <c r="Q9" s="11">
        <v>61.765844131556364</v>
      </c>
      <c r="R9" s="11"/>
      <c r="S9" s="11">
        <f t="shared" ref="S9:S16" si="2">Q9-O9</f>
        <v>9.7262981021300732</v>
      </c>
      <c r="T9" s="11">
        <v>21.656078037526985</v>
      </c>
      <c r="U9" s="11">
        <f t="shared" ref="U9:U12" si="3">SUM(S9:T9)</f>
        <v>31.382376139657058</v>
      </c>
      <c r="W9" s="10" t="str">
        <f>name!E5</f>
        <v>Professional occupations</v>
      </c>
      <c r="X9" s="11">
        <v>42.179446477363356</v>
      </c>
      <c r="Y9" s="11">
        <v>49.599555097053823</v>
      </c>
      <c r="Z9" s="11">
        <v>51.50428721026222</v>
      </c>
      <c r="AA9" s="11">
        <v>53.06068384154554</v>
      </c>
      <c r="AB9" s="11">
        <v>59.973373366994288</v>
      </c>
      <c r="AC9" s="11"/>
      <c r="AD9" s="11">
        <f t="shared" ref="AD9:AD16" si="4">AB9-Z9</f>
        <v>8.4690861567320681</v>
      </c>
      <c r="AE9" s="11">
        <v>30.44330518806359</v>
      </c>
      <c r="AF9" s="11">
        <f t="shared" ref="AF9:AF12" si="5">SUM(AD9:AE9)</f>
        <v>38.912391344795658</v>
      </c>
    </row>
    <row r="10" spans="1:32">
      <c r="A10" t="str">
        <f>name!E6</f>
        <v>Associate professional occupations</v>
      </c>
      <c r="B10" s="11">
        <v>56.127385363836439</v>
      </c>
      <c r="C10" s="11">
        <v>58.716382031893609</v>
      </c>
      <c r="D10" s="11">
        <v>60.815602010650593</v>
      </c>
      <c r="E10" s="11">
        <v>65.159050767565844</v>
      </c>
      <c r="F10" s="11">
        <v>71.509944652399085</v>
      </c>
      <c r="G10" s="11"/>
      <c r="H10" s="11">
        <f t="shared" si="0"/>
        <v>10.694342641748491</v>
      </c>
      <c r="I10" s="11">
        <v>31.730265288706448</v>
      </c>
      <c r="J10" s="11">
        <f t="shared" si="1"/>
        <v>42.42460793045494</v>
      </c>
      <c r="L10" s="10" t="str">
        <f>name!E6</f>
        <v>Associate professional occupations</v>
      </c>
      <c r="M10" s="11">
        <v>31.445207367233628</v>
      </c>
      <c r="N10" s="11">
        <v>31.637672918534637</v>
      </c>
      <c r="O10" s="11">
        <v>32.841082078951317</v>
      </c>
      <c r="P10" s="11">
        <v>31.608472926207263</v>
      </c>
      <c r="Q10" s="11">
        <v>32.455914389961976</v>
      </c>
      <c r="R10" s="11"/>
      <c r="S10" s="11">
        <f t="shared" si="2"/>
        <v>-0.38516768898934117</v>
      </c>
      <c r="T10" s="11">
        <v>12.193266257651954</v>
      </c>
      <c r="U10" s="11">
        <f t="shared" si="3"/>
        <v>11.808098568662613</v>
      </c>
      <c r="W10" s="10" t="str">
        <f>name!E6</f>
        <v>Associate professional occupations</v>
      </c>
      <c r="X10" s="11">
        <v>24.682177996602789</v>
      </c>
      <c r="Y10" s="11">
        <v>27.078709113358961</v>
      </c>
      <c r="Z10" s="11">
        <v>27.974519931699263</v>
      </c>
      <c r="AA10" s="11">
        <v>33.550577841358603</v>
      </c>
      <c r="AB10" s="11">
        <v>39.054030262437109</v>
      </c>
      <c r="AC10" s="11"/>
      <c r="AD10" s="11">
        <f t="shared" si="4"/>
        <v>11.079510330737847</v>
      </c>
      <c r="AE10" s="11">
        <v>19.536999031054499</v>
      </c>
      <c r="AF10" s="11">
        <f t="shared" si="5"/>
        <v>30.616509361792346</v>
      </c>
    </row>
    <row r="11" spans="1:32">
      <c r="A11" t="str">
        <f>name!E7</f>
        <v>Administrative and secretarial occupations</v>
      </c>
      <c r="B11" s="11">
        <v>60.137952735863799</v>
      </c>
      <c r="C11" s="11">
        <v>54.660014915246499</v>
      </c>
      <c r="D11" s="11">
        <v>56.47840028321459</v>
      </c>
      <c r="E11" s="11">
        <v>57.502694930725809</v>
      </c>
      <c r="F11" s="11">
        <v>53.527270896017249</v>
      </c>
      <c r="G11" s="11"/>
      <c r="H11" s="11">
        <f t="shared" si="0"/>
        <v>-2.9511293871973407</v>
      </c>
      <c r="I11" s="11">
        <v>28.233224777946248</v>
      </c>
      <c r="J11" s="11">
        <f t="shared" si="1"/>
        <v>25.282095390748907</v>
      </c>
      <c r="L11" s="10" t="str">
        <f>name!E7</f>
        <v>Administrative and secretarial occupations</v>
      </c>
      <c r="M11" s="11">
        <v>16.59794853010651</v>
      </c>
      <c r="N11" s="11">
        <v>14.301103892386752</v>
      </c>
      <c r="O11" s="11">
        <v>16.946842163081747</v>
      </c>
      <c r="P11" s="11">
        <v>18.183949653365826</v>
      </c>
      <c r="Q11" s="11">
        <v>20.373310794522293</v>
      </c>
      <c r="R11" s="11"/>
      <c r="S11" s="11">
        <f t="shared" si="2"/>
        <v>3.4264686314405459</v>
      </c>
      <c r="T11" s="11">
        <v>7.1209913912563731</v>
      </c>
      <c r="U11" s="11">
        <f t="shared" si="3"/>
        <v>10.547460022696919</v>
      </c>
      <c r="W11" s="10" t="str">
        <f>name!E7</f>
        <v>Administrative and secretarial occupations</v>
      </c>
      <c r="X11" s="11">
        <v>43.540004205757398</v>
      </c>
      <c r="Y11" s="11">
        <v>40.358911022859743</v>
      </c>
      <c r="Z11" s="11">
        <v>39.531558120132821</v>
      </c>
      <c r="AA11" s="11">
        <v>39.318745277360016</v>
      </c>
      <c r="AB11" s="11">
        <v>33.153960101494924</v>
      </c>
      <c r="AC11" s="11"/>
      <c r="AD11" s="11">
        <f t="shared" si="4"/>
        <v>-6.3775980186378973</v>
      </c>
      <c r="AE11" s="11">
        <v>21.112233386689876</v>
      </c>
      <c r="AF11" s="11">
        <f t="shared" si="5"/>
        <v>14.734635368051979</v>
      </c>
    </row>
    <row r="12" spans="1:32">
      <c r="A12" t="str">
        <f>name!E8</f>
        <v>Skilled trades occupations</v>
      </c>
      <c r="B12" s="11">
        <v>61.298727794930358</v>
      </c>
      <c r="C12" s="11">
        <v>61.93589069766864</v>
      </c>
      <c r="D12" s="11">
        <v>52.232847099052961</v>
      </c>
      <c r="E12" s="11">
        <v>51.034079797086527</v>
      </c>
      <c r="F12" s="11">
        <v>46.762923727753545</v>
      </c>
      <c r="G12" s="11"/>
      <c r="H12" s="11">
        <f t="shared" si="0"/>
        <v>-5.4699233712994157</v>
      </c>
      <c r="I12" s="11">
        <v>20.361626507675577</v>
      </c>
      <c r="J12" s="11">
        <f t="shared" si="1"/>
        <v>14.891703136376162</v>
      </c>
      <c r="L12" s="10" t="str">
        <f>name!E8</f>
        <v>Skilled trades occupations</v>
      </c>
      <c r="M12" s="11">
        <v>56.754509224207411</v>
      </c>
      <c r="N12" s="11">
        <v>57.607674779367684</v>
      </c>
      <c r="O12" s="11">
        <v>47.54750237002817</v>
      </c>
      <c r="P12" s="11">
        <v>46.152528466609084</v>
      </c>
      <c r="Q12" s="11">
        <v>41.679606455520677</v>
      </c>
      <c r="R12" s="11"/>
      <c r="S12" s="11">
        <f t="shared" si="2"/>
        <v>-5.8678959145074927</v>
      </c>
      <c r="T12" s="11">
        <v>17.470493525642475</v>
      </c>
      <c r="U12" s="11">
        <f t="shared" si="3"/>
        <v>11.602597611134982</v>
      </c>
      <c r="W12" s="10" t="str">
        <f>name!E8</f>
        <v>Skilled trades occupations</v>
      </c>
      <c r="X12" s="11">
        <v>4.5442185707229337</v>
      </c>
      <c r="Y12" s="11">
        <v>4.3282159183009998</v>
      </c>
      <c r="Z12" s="11">
        <v>4.6853447290247949</v>
      </c>
      <c r="AA12" s="11">
        <v>4.8815513304774214</v>
      </c>
      <c r="AB12" s="11">
        <v>5.0833172722328834</v>
      </c>
      <c r="AC12" s="11"/>
      <c r="AD12" s="11">
        <f t="shared" si="4"/>
        <v>0.3979725432080885</v>
      </c>
      <c r="AE12" s="11">
        <v>2.8911329820330995</v>
      </c>
      <c r="AF12" s="11">
        <f t="shared" si="5"/>
        <v>3.289105525241188</v>
      </c>
    </row>
    <row r="13" spans="1:32">
      <c r="A13" t="str">
        <f>name!E9</f>
        <v>Caring, leisure and other service occupations</v>
      </c>
      <c r="B13" s="11">
        <v>50.478192628686543</v>
      </c>
      <c r="C13" s="11">
        <v>51.457710511437895</v>
      </c>
      <c r="D13" s="11">
        <v>49.337956426134348</v>
      </c>
      <c r="E13" s="11">
        <v>50.297533097424598</v>
      </c>
      <c r="F13" s="11">
        <v>53.919691330747085</v>
      </c>
      <c r="G13" s="11"/>
      <c r="H13" s="11">
        <f t="shared" si="0"/>
        <v>4.5817349046127376</v>
      </c>
      <c r="I13" s="11">
        <v>28.655182651565259</v>
      </c>
      <c r="J13" s="11">
        <f>SUM(H13:I13)</f>
        <v>33.236917556178</v>
      </c>
      <c r="L13" s="10" t="str">
        <f>name!E9</f>
        <v>Caring, leisure and other service occupations</v>
      </c>
      <c r="M13" s="11">
        <v>7.6489928676305334</v>
      </c>
      <c r="N13" s="11">
        <v>7.5516485551120986</v>
      </c>
      <c r="O13" s="11">
        <v>7.3493018432232056</v>
      </c>
      <c r="P13" s="11">
        <v>7.8807129768765281</v>
      </c>
      <c r="Q13" s="11">
        <v>8.6698098845315457</v>
      </c>
      <c r="R13" s="11"/>
      <c r="S13" s="11">
        <f t="shared" si="2"/>
        <v>1.3205080413083401</v>
      </c>
      <c r="T13" s="11">
        <v>3.5229494190006441</v>
      </c>
      <c r="U13" s="11">
        <f>SUM(S13:T13)</f>
        <v>4.8434574603089846</v>
      </c>
      <c r="W13" s="10" t="str">
        <f>name!E9</f>
        <v>Caring, leisure and other service occupations</v>
      </c>
      <c r="X13" s="11">
        <v>42.829199761056003</v>
      </c>
      <c r="Y13" s="11">
        <v>43.906061956325814</v>
      </c>
      <c r="Z13" s="11">
        <v>41.988654582911131</v>
      </c>
      <c r="AA13" s="11">
        <v>42.416820120548081</v>
      </c>
      <c r="AB13" s="11">
        <v>45.249881446215547</v>
      </c>
      <c r="AC13" s="11"/>
      <c r="AD13" s="11">
        <f t="shared" si="4"/>
        <v>3.2612268633044152</v>
      </c>
      <c r="AE13" s="11">
        <v>25.132233232564616</v>
      </c>
      <c r="AF13" s="11">
        <f>SUM(AD13:AE13)</f>
        <v>28.393460095869031</v>
      </c>
    </row>
    <row r="14" spans="1:32">
      <c r="A14" t="str">
        <f>name!E10</f>
        <v>Sales and customer service occupations</v>
      </c>
      <c r="B14" s="11">
        <v>43.312490842090227</v>
      </c>
      <c r="C14" s="11">
        <v>39.584257231886966</v>
      </c>
      <c r="D14" s="11">
        <v>39.339785940793128</v>
      </c>
      <c r="E14" s="11">
        <v>39.372468047859556</v>
      </c>
      <c r="F14" s="11">
        <v>39.081082804049579</v>
      </c>
      <c r="G14" s="11"/>
      <c r="H14" s="11">
        <f t="shared" si="0"/>
        <v>-0.25870313674354861</v>
      </c>
      <c r="I14" s="11">
        <v>17.810894777395994</v>
      </c>
      <c r="J14" s="11">
        <f t="shared" si="1"/>
        <v>17.552191640652445</v>
      </c>
      <c r="L14" s="10" t="str">
        <f>name!E10</f>
        <v>Sales and customer service occupations</v>
      </c>
      <c r="M14" s="11">
        <v>17.699134073339792</v>
      </c>
      <c r="N14" s="11">
        <v>16.267488273262138</v>
      </c>
      <c r="O14" s="11">
        <v>16.721380568434249</v>
      </c>
      <c r="P14" s="11">
        <v>17.445617177689833</v>
      </c>
      <c r="Q14" s="11">
        <v>17.778444960888887</v>
      </c>
      <c r="R14" s="11"/>
      <c r="S14" s="11">
        <f t="shared" si="2"/>
        <v>1.0570643924546381</v>
      </c>
      <c r="T14" s="11">
        <v>5.785349229809178</v>
      </c>
      <c r="U14" s="11">
        <f t="shared" ref="U14:U15" si="6">SUM(S14:T14)</f>
        <v>6.8424136222638161</v>
      </c>
      <c r="W14" s="10" t="str">
        <f>name!E10</f>
        <v>Sales and customer service occupations</v>
      </c>
      <c r="X14" s="11">
        <v>25.61335676875046</v>
      </c>
      <c r="Y14" s="11">
        <v>23.316768958624813</v>
      </c>
      <c r="Z14" s="11">
        <v>22.618405372358861</v>
      </c>
      <c r="AA14" s="11">
        <v>21.926850870169652</v>
      </c>
      <c r="AB14" s="11">
        <v>21.302637843160699</v>
      </c>
      <c r="AC14" s="11"/>
      <c r="AD14" s="11">
        <f t="shared" si="4"/>
        <v>-1.3157675291981619</v>
      </c>
      <c r="AE14" s="11">
        <v>12.02554554758682</v>
      </c>
      <c r="AF14" s="11">
        <f t="shared" ref="AF14:AF15" si="7">SUM(AD14:AE14)</f>
        <v>10.709778018388658</v>
      </c>
    </row>
    <row r="15" spans="1:32">
      <c r="A15" t="str">
        <f>name!E11</f>
        <v>Process, plant and machine operatives</v>
      </c>
      <c r="B15" s="11">
        <v>47.140684059777129</v>
      </c>
      <c r="C15" s="11">
        <v>46.572468845695909</v>
      </c>
      <c r="D15" s="11">
        <v>40.358374305998041</v>
      </c>
      <c r="E15" s="11">
        <v>41.728305575825772</v>
      </c>
      <c r="F15" s="11">
        <v>40.199737732609378</v>
      </c>
      <c r="G15" s="11"/>
      <c r="H15" s="11">
        <f t="shared" si="0"/>
        <v>-0.15863657338866233</v>
      </c>
      <c r="I15" s="11">
        <v>19.468422812814641</v>
      </c>
      <c r="J15" s="11">
        <f t="shared" si="1"/>
        <v>19.309786239425978</v>
      </c>
      <c r="L15" s="10" t="str">
        <f>name!E11</f>
        <v>Process, plant and machine operatives</v>
      </c>
      <c r="M15" s="11">
        <v>41.541071156937718</v>
      </c>
      <c r="N15" s="11">
        <v>40.6978616531879</v>
      </c>
      <c r="O15" s="11">
        <v>35.308709081343153</v>
      </c>
      <c r="P15" s="11">
        <v>35.713046846558441</v>
      </c>
      <c r="Q15" s="11">
        <v>34.024566162099731</v>
      </c>
      <c r="R15" s="11"/>
      <c r="S15" s="11">
        <f t="shared" si="2"/>
        <v>-1.2841429192434219</v>
      </c>
      <c r="T15" s="11">
        <v>16.219693631266729</v>
      </c>
      <c r="U15" s="11">
        <f t="shared" si="6"/>
        <v>14.935550712023307</v>
      </c>
      <c r="W15" s="10" t="str">
        <f>name!E11</f>
        <v>Process, plant and machine operatives</v>
      </c>
      <c r="X15" s="11">
        <v>5.5996129028394144</v>
      </c>
      <c r="Y15" s="11">
        <v>5.8746071925080576</v>
      </c>
      <c r="Z15" s="11">
        <v>5.0496652246549001</v>
      </c>
      <c r="AA15" s="11">
        <v>6.0152587292673356</v>
      </c>
      <c r="AB15" s="11">
        <v>6.1751715705096224</v>
      </c>
      <c r="AC15" s="11"/>
      <c r="AD15" s="11">
        <f t="shared" si="4"/>
        <v>1.1255063458547223</v>
      </c>
      <c r="AE15" s="11">
        <v>3.2487291815479109</v>
      </c>
      <c r="AF15" s="11">
        <f t="shared" si="7"/>
        <v>4.3742355274026332</v>
      </c>
    </row>
    <row r="16" spans="1:32">
      <c r="A16" t="str">
        <f>name!E12</f>
        <v>Elementary occupations</v>
      </c>
      <c r="B16" s="11">
        <v>56.959938314054895</v>
      </c>
      <c r="C16" s="11">
        <v>51.598951207068083</v>
      </c>
      <c r="D16" s="11">
        <v>46.286833202091827</v>
      </c>
      <c r="E16" s="11">
        <v>48.234655478640505</v>
      </c>
      <c r="F16" s="11">
        <v>45.977952071338812</v>
      </c>
      <c r="G16" s="11"/>
      <c r="H16" s="11">
        <f t="shared" si="0"/>
        <v>-0.30888113075301504</v>
      </c>
      <c r="I16" s="11">
        <v>22.797987863335656</v>
      </c>
      <c r="J16" s="11">
        <f>SUM(H16:I16)</f>
        <v>22.489106732582641</v>
      </c>
      <c r="L16" s="10" t="str">
        <f>name!E12</f>
        <v>Elementary occupations</v>
      </c>
      <c r="M16" s="11">
        <v>32.217453269733966</v>
      </c>
      <c r="N16" s="11">
        <v>27.32955702792961</v>
      </c>
      <c r="O16" s="11">
        <v>25.416854953849867</v>
      </c>
      <c r="P16" s="11">
        <v>27.25507453503343</v>
      </c>
      <c r="Q16" s="11">
        <v>26.125992998296034</v>
      </c>
      <c r="R16" s="11"/>
      <c r="S16" s="11">
        <f t="shared" si="2"/>
        <v>0.70913804444616702</v>
      </c>
      <c r="T16" s="11">
        <v>10.235966576542829</v>
      </c>
      <c r="U16" s="11">
        <f>SUM(S16:T16)</f>
        <v>10.945104620988996</v>
      </c>
      <c r="W16" s="10" t="str">
        <f>name!E12</f>
        <v>Elementary occupations</v>
      </c>
      <c r="X16" s="11">
        <v>24.742485044320905</v>
      </c>
      <c r="Y16" s="11">
        <v>24.26939417913848</v>
      </c>
      <c r="Z16" s="11">
        <v>20.869978248242013</v>
      </c>
      <c r="AA16" s="11">
        <v>20.979580943607111</v>
      </c>
      <c r="AB16" s="11">
        <v>19.851959073042799</v>
      </c>
      <c r="AC16" s="11"/>
      <c r="AD16" s="11">
        <f t="shared" si="4"/>
        <v>-1.018019175199214</v>
      </c>
      <c r="AE16" s="11">
        <v>12.562021286792834</v>
      </c>
      <c r="AF16" s="11">
        <f>SUM(AD16:AE16)</f>
        <v>11.54400211159362</v>
      </c>
    </row>
    <row r="17" spans="1:3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>
      <c r="A18" s="22" t="str">
        <f>name!E3</f>
        <v>All occupations</v>
      </c>
      <c r="B18" s="27">
        <f>SUM(B8:B16)</f>
        <v>505.56200000000013</v>
      </c>
      <c r="C18" s="27">
        <f>SUM(C8:C16)</f>
        <v>509.93099999999964</v>
      </c>
      <c r="D18" s="27">
        <f>SUM(D8:D16)</f>
        <v>496.19399999999968</v>
      </c>
      <c r="E18" s="27">
        <f>SUM(E8:E16)</f>
        <v>508.1280000000001</v>
      </c>
      <c r="F18" s="27">
        <f>SUM(F8:F16)</f>
        <v>521.94399999999951</v>
      </c>
      <c r="G18" s="11"/>
      <c r="H18" s="27">
        <f>SUM(H8:H16)</f>
        <v>25.749999999999844</v>
      </c>
      <c r="I18" s="27">
        <f>SUM(I8:I16)</f>
        <v>245.71821360686721</v>
      </c>
      <c r="J18" s="27">
        <f>SUM(H18:I18)</f>
        <v>271.46821360686704</v>
      </c>
      <c r="L18" s="208" t="str">
        <f>name!E3</f>
        <v>All occupations</v>
      </c>
      <c r="M18" s="27">
        <f>SUM(M8:M16)</f>
        <v>278.47300247517569</v>
      </c>
      <c r="N18" s="27">
        <f>SUM(N8:N16)</f>
        <v>275.90173239601108</v>
      </c>
      <c r="O18" s="27">
        <f>SUM(O8:O16)</f>
        <v>265.09940440414124</v>
      </c>
      <c r="P18" s="27">
        <f>SUM(P8:P16)</f>
        <v>269.87496646904503</v>
      </c>
      <c r="Q18" s="27">
        <f>SUM(Q8:Q16)</f>
        <v>273.44446800613349</v>
      </c>
      <c r="R18" s="11"/>
      <c r="S18" s="27">
        <f>SUM(S8:S16)</f>
        <v>8.3450636019922442</v>
      </c>
      <c r="T18" s="27">
        <f>SUM(T8:T16)</f>
        <v>108.33979826213647</v>
      </c>
      <c r="U18" s="27">
        <f>SUM(S18:T18)</f>
        <v>116.68486186412872</v>
      </c>
      <c r="W18" s="208" t="str">
        <f>name!E3</f>
        <v>All occupations</v>
      </c>
      <c r="X18" s="27">
        <f>SUM(X8:X16)</f>
        <v>227.08899752482446</v>
      </c>
      <c r="Y18" s="27">
        <f>SUM(Y8:Y16)</f>
        <v>234.0292676039887</v>
      </c>
      <c r="Z18" s="27">
        <f>SUM(Z8:Z16)</f>
        <v>231.09459559585861</v>
      </c>
      <c r="AA18" s="27">
        <f>SUM(AA8:AA16)</f>
        <v>238.25303353095495</v>
      </c>
      <c r="AB18" s="27">
        <f>SUM(AB8:AB16)</f>
        <v>248.49953199386613</v>
      </c>
      <c r="AC18" s="11"/>
      <c r="AD18" s="27">
        <f>SUM(AD8:AD16)</f>
        <v>17.404936398007493</v>
      </c>
      <c r="AE18" s="27">
        <f>SUM(AE8:AE16)</f>
        <v>137.37841534473074</v>
      </c>
      <c r="AF18" s="27">
        <f>SUM(AD18:AE18)</f>
        <v>154.78335174273823</v>
      </c>
    </row>
    <row r="19" spans="1:3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>
      <c r="B21" s="11"/>
      <c r="C21" s="11"/>
      <c r="D21" s="11"/>
      <c r="E21" s="11"/>
      <c r="F21" s="16" t="s">
        <v>121</v>
      </c>
      <c r="G21" s="11"/>
      <c r="J21" s="16" t="s">
        <v>121</v>
      </c>
      <c r="M21" s="11"/>
      <c r="N21" s="11"/>
      <c r="O21" s="11"/>
      <c r="P21" s="11"/>
      <c r="Q21" s="16" t="s">
        <v>121</v>
      </c>
      <c r="R21" s="11"/>
      <c r="U21" s="16" t="s">
        <v>121</v>
      </c>
      <c r="X21" s="11"/>
      <c r="Y21" s="11"/>
      <c r="Z21" s="11"/>
      <c r="AA21" s="11"/>
      <c r="AB21" s="16" t="s">
        <v>121</v>
      </c>
      <c r="AC21" s="11"/>
      <c r="AF21" s="16" t="s">
        <v>121</v>
      </c>
    </row>
    <row r="22" spans="1:32">
      <c r="A22" s="29"/>
      <c r="B22" s="53"/>
      <c r="C22" s="53"/>
      <c r="D22" s="53"/>
      <c r="E22" s="53"/>
      <c r="F22" s="53"/>
      <c r="G22" s="11"/>
      <c r="H22" s="24" t="str">
        <f>H4</f>
        <v>2020-2035</v>
      </c>
      <c r="I22" s="29"/>
      <c r="J22" s="29"/>
      <c r="L22" s="29"/>
      <c r="M22" s="53"/>
      <c r="N22" s="53"/>
      <c r="O22" s="53"/>
      <c r="P22" s="53"/>
      <c r="Q22" s="53"/>
      <c r="R22" s="11"/>
      <c r="S22" s="24" t="str">
        <f>S4</f>
        <v>2020-2035</v>
      </c>
      <c r="T22" s="29"/>
      <c r="U22" s="29"/>
      <c r="W22" s="29"/>
      <c r="X22" s="53"/>
      <c r="Y22" s="53"/>
      <c r="Z22" s="53"/>
      <c r="AA22" s="53"/>
      <c r="AB22" s="53"/>
      <c r="AC22" s="11"/>
      <c r="AD22" s="24" t="str">
        <f>AD4</f>
        <v>2020-2035</v>
      </c>
      <c r="AE22" s="29"/>
      <c r="AF22" s="29"/>
    </row>
    <row r="23" spans="1:3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>
      <c r="A24" s="32" t="s">
        <v>122</v>
      </c>
      <c r="B24" s="28">
        <f>B$6</f>
        <v>2015</v>
      </c>
      <c r="C24" s="28">
        <f>C$6</f>
        <v>2019</v>
      </c>
      <c r="D24" s="28">
        <f>D$6</f>
        <v>2020</v>
      </c>
      <c r="E24" s="28">
        <f>E$6</f>
        <v>2025</v>
      </c>
      <c r="F24" s="28">
        <f>F$6</f>
        <v>2035</v>
      </c>
      <c r="G24" s="11"/>
      <c r="H24" s="22" t="str">
        <f>H6</f>
        <v>Change</v>
      </c>
      <c r="I24" s="22" t="str">
        <f>I6</f>
        <v>Demand</v>
      </c>
      <c r="J24" s="22" t="str">
        <f>J6</f>
        <v>Requirement</v>
      </c>
      <c r="L24" s="32" t="s">
        <v>122</v>
      </c>
      <c r="M24" s="28">
        <f>M$6</f>
        <v>2015</v>
      </c>
      <c r="N24" s="28">
        <f>N$6</f>
        <v>2019</v>
      </c>
      <c r="O24" s="28">
        <f>O$6</f>
        <v>2020</v>
      </c>
      <c r="P24" s="28">
        <f>P$6</f>
        <v>2025</v>
      </c>
      <c r="Q24" s="28">
        <f>Q$6</f>
        <v>2035</v>
      </c>
      <c r="R24" s="11"/>
      <c r="S24" s="22" t="str">
        <f>S6</f>
        <v>Change</v>
      </c>
      <c r="T24" s="22" t="str">
        <f>T6</f>
        <v>Demand</v>
      </c>
      <c r="U24" s="22" t="str">
        <f>U6</f>
        <v>Requirement</v>
      </c>
      <c r="W24" s="32" t="s">
        <v>122</v>
      </c>
      <c r="X24" s="28">
        <f>X$6</f>
        <v>2015</v>
      </c>
      <c r="Y24" s="28">
        <f>Y$6</f>
        <v>2019</v>
      </c>
      <c r="Z24" s="28">
        <f>Z$6</f>
        <v>2020</v>
      </c>
      <c r="AA24" s="28">
        <f>AA$6</f>
        <v>2025</v>
      </c>
      <c r="AB24" s="28">
        <f>AB$6</f>
        <v>2035</v>
      </c>
      <c r="AC24" s="11"/>
      <c r="AD24" s="22" t="str">
        <f>AD6</f>
        <v>Change</v>
      </c>
      <c r="AE24" s="22" t="str">
        <f>AE6</f>
        <v>Demand</v>
      </c>
      <c r="AF24" s="22" t="str">
        <f>AF6</f>
        <v>Requirement</v>
      </c>
    </row>
    <row r="25" spans="1:3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>
      <c r="A26" t="str">
        <f>$A$8</f>
        <v>Managers, directors and senior officials</v>
      </c>
      <c r="B26" s="322">
        <f t="shared" ref="B26:F34" si="8">B8/B$18*100</f>
        <v>8.3852664195490014</v>
      </c>
      <c r="C26" s="322">
        <f t="shared" si="8"/>
        <v>9.0885135458674444</v>
      </c>
      <c r="D26" s="322">
        <f t="shared" si="8"/>
        <v>9.6334029618205399</v>
      </c>
      <c r="E26" s="322">
        <f t="shared" si="8"/>
        <v>8.8239231553748887</v>
      </c>
      <c r="F26" s="322">
        <f t="shared" si="8"/>
        <v>9.4313143338239822</v>
      </c>
      <c r="G26" s="11"/>
      <c r="H26" s="31">
        <f>IF(D8&gt;0,(H8/D8)*100,0)</f>
        <v>2.982846929756009</v>
      </c>
      <c r="I26" s="31">
        <f>IF(D8&gt;0,(I8/D8)*100,0)</f>
        <v>51.38292232952881</v>
      </c>
      <c r="J26" s="31">
        <f>IF(D8&gt;0,(J8/D8)*100,0)</f>
        <v>54.365769259284825</v>
      </c>
      <c r="L26" t="str">
        <f>$A$8</f>
        <v>Managers, directors and senior officials</v>
      </c>
      <c r="M26" s="322">
        <f t="shared" ref="M26:Q26" si="9">M8/M$18*100</f>
        <v>10.426226083146933</v>
      </c>
      <c r="N26" s="322">
        <f t="shared" si="9"/>
        <v>11.253319641790016</v>
      </c>
      <c r="O26" s="322">
        <f t="shared" si="9"/>
        <v>11.666637043308295</v>
      </c>
      <c r="P26" s="322">
        <f t="shared" si="9"/>
        <v>10.647100785325312</v>
      </c>
      <c r="Q26" s="322">
        <f t="shared" si="9"/>
        <v>11.179958567700925</v>
      </c>
      <c r="R26" s="11"/>
      <c r="S26" s="31">
        <f>IF(O8&gt;0,(S8/O8)*100,0)</f>
        <v>-1.1549565013267824</v>
      </c>
      <c r="T26" s="31">
        <f>IF(O8&gt;0,(T8/O8)*100,0)</f>
        <v>45.702682032937801</v>
      </c>
      <c r="U26" s="31">
        <f>IF(O8&gt;0,(U8/O8)*100,0)</f>
        <v>44.547725531611022</v>
      </c>
      <c r="W26" t="str">
        <f>$A$8</f>
        <v>Managers, directors and senior officials</v>
      </c>
      <c r="X26" s="322">
        <f t="shared" ref="X26:AB26" si="10">X8/X$18*100</f>
        <v>5.8824936227704665</v>
      </c>
      <c r="Y26" s="322">
        <f t="shared" si="10"/>
        <v>6.5363808221212887</v>
      </c>
      <c r="Z26" s="322">
        <f t="shared" si="10"/>
        <v>7.3009851801462826</v>
      </c>
      <c r="AA26" s="322">
        <f t="shared" si="10"/>
        <v>6.7587658121167165</v>
      </c>
      <c r="AB26" s="322">
        <f t="shared" si="10"/>
        <v>7.5071373004592727</v>
      </c>
      <c r="AC26" s="11"/>
      <c r="AD26" s="31">
        <f>IF(Z8&gt;0,(AD8/Z8)*100,0)</f>
        <v>10.567802448703919</v>
      </c>
      <c r="AE26" s="31">
        <f>IF(Z8&gt;0,(AE8/Z8)*100,0)</f>
        <v>61.795299501178391</v>
      </c>
      <c r="AF26" s="31">
        <f>IF(Z8&gt;0,(AF8/Z8)*100,0)</f>
        <v>72.363101949882306</v>
      </c>
    </row>
    <row r="27" spans="1:32">
      <c r="A27" t="str">
        <f>$A$9</f>
        <v>Professional occupations</v>
      </c>
      <c r="B27" s="322">
        <f t="shared" si="8"/>
        <v>17.349782547889351</v>
      </c>
      <c r="C27" s="322">
        <f t="shared" si="8"/>
        <v>19.426192278862214</v>
      </c>
      <c r="D27" s="322">
        <f t="shared" si="8"/>
        <v>20.867610902124678</v>
      </c>
      <c r="E27" s="322">
        <f t="shared" si="8"/>
        <v>21.640686609265416</v>
      </c>
      <c r="F27" s="322">
        <f t="shared" si="8"/>
        <v>23.32419138807051</v>
      </c>
      <c r="G27" s="11"/>
      <c r="H27" s="31">
        <f t="shared" ref="H27:H36" si="11">IF(D9&gt;0,(H9/D9)*100,0)</f>
        <v>17.572639228782066</v>
      </c>
      <c r="I27" s="31">
        <f t="shared" ref="I27:I36" si="12">IF(D9&gt;0,(I9/D9)*100,0)</f>
        <v>50.316258917118041</v>
      </c>
      <c r="J27" s="31">
        <f t="shared" ref="J27:J36" si="13">IF(D9&gt;0,(J9/D9)*100,0)</f>
        <v>67.888898145900114</v>
      </c>
      <c r="L27" t="str">
        <f>$A$9</f>
        <v>Professional occupations</v>
      </c>
      <c r="M27" s="322">
        <f t="shared" ref="M27:Q27" si="14">M9/M$18*100</f>
        <v>16.351481386945615</v>
      </c>
      <c r="N27" s="322">
        <f t="shared" si="14"/>
        <v>17.926897748318066</v>
      </c>
      <c r="O27" s="322">
        <f t="shared" si="14"/>
        <v>19.630201035869757</v>
      </c>
      <c r="P27" s="322">
        <f t="shared" si="14"/>
        <v>21.084469210636918</v>
      </c>
      <c r="Q27" s="322">
        <f t="shared" si="14"/>
        <v>22.588075956311148</v>
      </c>
      <c r="R27" s="11"/>
      <c r="S27" s="31">
        <f t="shared" ref="S27:S34" si="15">IF(O9&gt;0,(S9/O9)*100,0)</f>
        <v>18.690205515302228</v>
      </c>
      <c r="T27" s="31">
        <f t="shared" ref="T27:T34" si="16">IF(O9&gt;0,(T9/O9)*100,0)</f>
        <v>41.614655948922639</v>
      </c>
      <c r="U27" s="31">
        <f t="shared" ref="U27:U34" si="17">IF(O9&gt;0,(U9/O9)*100,0)</f>
        <v>60.304861464224871</v>
      </c>
      <c r="W27" t="str">
        <f>$A$9</f>
        <v>Professional occupations</v>
      </c>
      <c r="X27" s="322">
        <f t="shared" ref="X27:AB27" si="18">X9/X$18*100</f>
        <v>18.573971851169262</v>
      </c>
      <c r="Y27" s="322">
        <f t="shared" si="18"/>
        <v>21.193740255164766</v>
      </c>
      <c r="Z27" s="322">
        <f t="shared" si="18"/>
        <v>22.287101555734182</v>
      </c>
      <c r="AA27" s="322">
        <f t="shared" si="18"/>
        <v>22.270727493025454</v>
      </c>
      <c r="AB27" s="322">
        <f t="shared" si="18"/>
        <v>24.134199724961512</v>
      </c>
      <c r="AC27" s="11"/>
      <c r="AD27" s="31">
        <f t="shared" ref="AD27:AD34" si="19">IF(Z9&gt;0,(AD9/Z9)*100,0)</f>
        <v>16.443458623468928</v>
      </c>
      <c r="AE27" s="31">
        <f t="shared" ref="AE27:AE34" si="20">IF(Z9&gt;0,(AE9/Z9)*100,0)</f>
        <v>59.108293381056185</v>
      </c>
      <c r="AF27" s="31">
        <f t="shared" ref="AF27:AF34" si="21">IF(Z9&gt;0,(AF9/Z9)*100,0)</f>
        <v>75.551752004525113</v>
      </c>
    </row>
    <row r="28" spans="1:32">
      <c r="A28" t="str">
        <f>$A$10</f>
        <v>Associate professional occupations</v>
      </c>
      <c r="B28" s="322">
        <f t="shared" si="8"/>
        <v>11.101978662129754</v>
      </c>
      <c r="C28" s="322">
        <f t="shared" si="8"/>
        <v>11.514573938806162</v>
      </c>
      <c r="D28" s="322">
        <f t="shared" si="8"/>
        <v>12.256416242568559</v>
      </c>
      <c r="E28" s="322">
        <f t="shared" si="8"/>
        <v>12.823353715513775</v>
      </c>
      <c r="F28" s="322">
        <f t="shared" si="8"/>
        <v>13.7006929196234</v>
      </c>
      <c r="G28" s="11"/>
      <c r="H28" s="31">
        <f t="shared" si="11"/>
        <v>17.58486685682335</v>
      </c>
      <c r="I28" s="31">
        <f t="shared" si="12"/>
        <v>52.174547714169719</v>
      </c>
      <c r="J28" s="31">
        <f t="shared" si="13"/>
        <v>69.759414570993059</v>
      </c>
      <c r="L28" t="str">
        <f>$A$10</f>
        <v>Associate professional occupations</v>
      </c>
      <c r="M28" s="322">
        <f t="shared" ref="M28:Q28" si="22">M10/M$18*100</f>
        <v>11.292012901694767</v>
      </c>
      <c r="N28" s="322">
        <f t="shared" si="22"/>
        <v>11.467007707339807</v>
      </c>
      <c r="O28" s="322">
        <f t="shared" si="22"/>
        <v>12.388214206956661</v>
      </c>
      <c r="P28" s="322">
        <f t="shared" si="22"/>
        <v>11.71226562424892</v>
      </c>
      <c r="Q28" s="322">
        <f t="shared" si="22"/>
        <v>11.869289083308123</v>
      </c>
      <c r="R28" s="11"/>
      <c r="S28" s="31">
        <f t="shared" si="15"/>
        <v>-1.1728227713794026</v>
      </c>
      <c r="T28" s="31">
        <f t="shared" si="16"/>
        <v>37.128089227811792</v>
      </c>
      <c r="U28" s="31">
        <f t="shared" si="17"/>
        <v>35.955266456432398</v>
      </c>
      <c r="W28" t="str">
        <f>$A$10</f>
        <v>Associate professional occupations</v>
      </c>
      <c r="X28" s="322">
        <f t="shared" ref="X28:AB28" si="23">X10/X$18*100</f>
        <v>10.868944891927065</v>
      </c>
      <c r="Y28" s="322">
        <f t="shared" si="23"/>
        <v>11.570650709884733</v>
      </c>
      <c r="Z28" s="322">
        <f t="shared" si="23"/>
        <v>12.105224641696722</v>
      </c>
      <c r="AA28" s="322">
        <f t="shared" si="23"/>
        <v>14.081910036624803</v>
      </c>
      <c r="AB28" s="322">
        <f t="shared" si="23"/>
        <v>15.715937148485699</v>
      </c>
      <c r="AC28" s="11"/>
      <c r="AD28" s="31">
        <f t="shared" si="19"/>
        <v>39.605721055406299</v>
      </c>
      <c r="AE28" s="31">
        <f t="shared" si="20"/>
        <v>69.838549790147411</v>
      </c>
      <c r="AF28" s="31">
        <f t="shared" si="21"/>
        <v>109.4442708455537</v>
      </c>
    </row>
    <row r="29" spans="1:32">
      <c r="A29" t="str">
        <f>$A$11</f>
        <v>Administrative and secretarial occupations</v>
      </c>
      <c r="B29" s="322">
        <f t="shared" si="8"/>
        <v>11.895267590496077</v>
      </c>
      <c r="C29" s="322">
        <f t="shared" si="8"/>
        <v>10.719100214587177</v>
      </c>
      <c r="D29" s="322">
        <f t="shared" si="8"/>
        <v>11.38232229394443</v>
      </c>
      <c r="E29" s="322">
        <f t="shared" si="8"/>
        <v>11.316576715065061</v>
      </c>
      <c r="F29" s="322">
        <f t="shared" si="8"/>
        <v>10.255366647766293</v>
      </c>
      <c r="G29" s="11"/>
      <c r="H29" s="31">
        <f t="shared" si="11"/>
        <v>-5.2252354393869371</v>
      </c>
      <c r="I29" s="31">
        <f t="shared" si="12"/>
        <v>49.989420090457443</v>
      </c>
      <c r="J29" s="31">
        <f t="shared" si="13"/>
        <v>44.764184651070508</v>
      </c>
      <c r="L29" t="str">
        <f>$A$11</f>
        <v>Administrative and secretarial occupations</v>
      </c>
      <c r="M29" s="322">
        <f t="shared" ref="M29:Q29" si="24">M11/M$18*100</f>
        <v>5.9603438690923456</v>
      </c>
      <c r="N29" s="322">
        <f t="shared" si="24"/>
        <v>5.1834048913690385</v>
      </c>
      <c r="O29" s="322">
        <f t="shared" si="24"/>
        <v>6.3926368303892769</v>
      </c>
      <c r="P29" s="322">
        <f t="shared" si="24"/>
        <v>6.7379164104320681</v>
      </c>
      <c r="Q29" s="322">
        <f t="shared" si="24"/>
        <v>7.4506209407261839</v>
      </c>
      <c r="R29" s="11"/>
      <c r="S29" s="31">
        <f t="shared" si="15"/>
        <v>20.218921014706908</v>
      </c>
      <c r="T29" s="31">
        <f t="shared" si="16"/>
        <v>42.019576996883032</v>
      </c>
      <c r="U29" s="31">
        <f t="shared" si="17"/>
        <v>62.23849801158994</v>
      </c>
      <c r="W29" t="str">
        <f>$A$11</f>
        <v>Administrative and secretarial occupations</v>
      </c>
      <c r="X29" s="322">
        <f t="shared" ref="X29:AB29" si="25">X11/X$18*100</f>
        <v>19.173101594672275</v>
      </c>
      <c r="Y29" s="322">
        <f t="shared" si="25"/>
        <v>17.245240920530012</v>
      </c>
      <c r="Z29" s="322">
        <f t="shared" si="25"/>
        <v>17.106223543741432</v>
      </c>
      <c r="AA29" s="322">
        <f t="shared" si="25"/>
        <v>16.502935847090292</v>
      </c>
      <c r="AB29" s="322">
        <f t="shared" si="25"/>
        <v>13.341658970332904</v>
      </c>
      <c r="AC29" s="11"/>
      <c r="AD29" s="31">
        <f t="shared" si="19"/>
        <v>-16.132928530813167</v>
      </c>
      <c r="AE29" s="31">
        <f t="shared" si="20"/>
        <v>53.406023922790283</v>
      </c>
      <c r="AF29" s="31">
        <f t="shared" si="21"/>
        <v>37.273095391977108</v>
      </c>
    </row>
    <row r="30" spans="1:32">
      <c r="A30" t="str">
        <f>$A$12</f>
        <v>Skilled trades occupations</v>
      </c>
      <c r="B30" s="322">
        <f t="shared" si="8"/>
        <v>12.124868521552321</v>
      </c>
      <c r="C30" s="322">
        <f t="shared" si="8"/>
        <v>12.145935567296101</v>
      </c>
      <c r="D30" s="322">
        <f t="shared" si="8"/>
        <v>10.526698649933895</v>
      </c>
      <c r="E30" s="322">
        <f t="shared" si="8"/>
        <v>10.043548042439408</v>
      </c>
      <c r="F30" s="322">
        <f t="shared" si="8"/>
        <v>8.9593756663077997</v>
      </c>
      <c r="G30" s="11"/>
      <c r="H30" s="31">
        <f t="shared" si="11"/>
        <v>-10.472190728807872</v>
      </c>
      <c r="I30" s="31">
        <f t="shared" si="12"/>
        <v>38.982417460534627</v>
      </c>
      <c r="J30" s="31">
        <f t="shared" si="13"/>
        <v>28.510226731726757</v>
      </c>
      <c r="L30" t="str">
        <f>$A$12</f>
        <v>Skilled trades occupations</v>
      </c>
      <c r="M30" s="322">
        <f t="shared" ref="M30:Q30" si="26">M12/M$18*100</f>
        <v>20.38061453704718</v>
      </c>
      <c r="N30" s="322">
        <f t="shared" si="26"/>
        <v>20.879780014096266</v>
      </c>
      <c r="O30" s="322">
        <f t="shared" si="26"/>
        <v>17.935725837219348</v>
      </c>
      <c r="P30" s="322">
        <f t="shared" si="26"/>
        <v>17.101448522793177</v>
      </c>
      <c r="Q30" s="322">
        <f t="shared" si="26"/>
        <v>15.242439080751776</v>
      </c>
      <c r="R30" s="11"/>
      <c r="S30" s="31">
        <f t="shared" si="15"/>
        <v>-12.341123344065183</v>
      </c>
      <c r="T30" s="31">
        <f t="shared" si="16"/>
        <v>36.743241295162321</v>
      </c>
      <c r="U30" s="31">
        <f t="shared" si="17"/>
        <v>24.402117951097139</v>
      </c>
      <c r="W30" t="str">
        <f>$A$12</f>
        <v>Skilled trades occupations</v>
      </c>
      <c r="X30" s="322">
        <f t="shared" ref="X30:AB30" si="27">X12/X$18*100</f>
        <v>2.0010738610205796</v>
      </c>
      <c r="Y30" s="322">
        <f t="shared" si="27"/>
        <v>1.849433604016129</v>
      </c>
      <c r="Z30" s="322">
        <f t="shared" si="27"/>
        <v>2.027457508014852</v>
      </c>
      <c r="AA30" s="322">
        <f t="shared" si="27"/>
        <v>2.0488936733068659</v>
      </c>
      <c r="AB30" s="322">
        <f t="shared" si="27"/>
        <v>2.0456043645017239</v>
      </c>
      <c r="AC30" s="11"/>
      <c r="AD30" s="31">
        <f t="shared" si="19"/>
        <v>8.4939863814657297</v>
      </c>
      <c r="AE30" s="31">
        <f t="shared" si="20"/>
        <v>61.705875431600489</v>
      </c>
      <c r="AF30" s="31">
        <f t="shared" si="21"/>
        <v>70.199861813066221</v>
      </c>
    </row>
    <row r="31" spans="1:32">
      <c r="A31" t="str">
        <f>$A$13</f>
        <v>Caring, leisure and other service occupations</v>
      </c>
      <c r="B31" s="322">
        <f t="shared" si="8"/>
        <v>9.9845701671974023</v>
      </c>
      <c r="C31" s="322">
        <f t="shared" si="8"/>
        <v>10.0911124272574</v>
      </c>
      <c r="D31" s="322">
        <f t="shared" si="8"/>
        <v>9.9432795290016358</v>
      </c>
      <c r="E31" s="322">
        <f t="shared" si="8"/>
        <v>9.8985950582185183</v>
      </c>
      <c r="F31" s="322">
        <f t="shared" si="8"/>
        <v>10.330551042017369</v>
      </c>
      <c r="G31" s="11"/>
      <c r="H31" s="31">
        <f t="shared" si="11"/>
        <v>9.2864302384964397</v>
      </c>
      <c r="I31" s="31">
        <f t="shared" si="12"/>
        <v>58.079387001903847</v>
      </c>
      <c r="J31" s="31">
        <f t="shared" si="13"/>
        <v>67.36581724040029</v>
      </c>
      <c r="L31" t="str">
        <f>$A$13</f>
        <v>Caring, leisure and other service occupations</v>
      </c>
      <c r="M31" s="322">
        <f t="shared" ref="M31:Q31" si="28">M13/M$18*100</f>
        <v>2.7467628099109529</v>
      </c>
      <c r="N31" s="322">
        <f t="shared" si="28"/>
        <v>2.73707906417672</v>
      </c>
      <c r="O31" s="322">
        <f t="shared" si="28"/>
        <v>2.7722815370868479</v>
      </c>
      <c r="P31" s="322">
        <f t="shared" si="28"/>
        <v>2.9201348609636435</v>
      </c>
      <c r="Q31" s="322">
        <f t="shared" si="28"/>
        <v>3.1705925330100584</v>
      </c>
      <c r="R31" s="11"/>
      <c r="S31" s="31">
        <f t="shared" si="15"/>
        <v>17.967802513458896</v>
      </c>
      <c r="T31" s="31">
        <f t="shared" si="16"/>
        <v>47.935837908864194</v>
      </c>
      <c r="U31" s="31">
        <f t="shared" si="17"/>
        <v>65.903640422323093</v>
      </c>
      <c r="W31" t="str">
        <f>$A$13</f>
        <v>Caring, leisure and other service occupations</v>
      </c>
      <c r="X31" s="322">
        <f t="shared" ref="X31:AB31" si="29">X13/X$18*100</f>
        <v>18.860094600740876</v>
      </c>
      <c r="Y31" s="322">
        <f t="shared" si="29"/>
        <v>18.760927812935435</v>
      </c>
      <c r="Z31" s="322">
        <f t="shared" si="29"/>
        <v>18.169466263218663</v>
      </c>
      <c r="AA31" s="322">
        <f t="shared" si="29"/>
        <v>17.803265499676037</v>
      </c>
      <c r="AB31" s="322">
        <f t="shared" si="29"/>
        <v>18.209242119350343</v>
      </c>
      <c r="AC31" s="11"/>
      <c r="AD31" s="31">
        <f t="shared" si="19"/>
        <v>7.7669239362379923</v>
      </c>
      <c r="AE31" s="31">
        <f t="shared" si="20"/>
        <v>59.854819074848677</v>
      </c>
      <c r="AF31" s="31">
        <f t="shared" si="21"/>
        <v>67.621743011086664</v>
      </c>
    </row>
    <row r="32" spans="1:32">
      <c r="A32" t="str">
        <f>$A$14</f>
        <v>Sales and customer service occupations</v>
      </c>
      <c r="B32" s="322">
        <f t="shared" si="8"/>
        <v>8.5671966726316882</v>
      </c>
      <c r="C32" s="322">
        <f t="shared" si="8"/>
        <v>7.7626693085705707</v>
      </c>
      <c r="D32" s="322">
        <f t="shared" si="8"/>
        <v>7.9283074645790057</v>
      </c>
      <c r="E32" s="322">
        <f t="shared" si="8"/>
        <v>7.7485334498117693</v>
      </c>
      <c r="F32" s="322">
        <f t="shared" si="8"/>
        <v>7.4876007395524455</v>
      </c>
      <c r="H32" s="31">
        <f t="shared" si="11"/>
        <v>-0.65761195836932129</v>
      </c>
      <c r="I32" s="31">
        <f t="shared" si="12"/>
        <v>45.274508621377898</v>
      </c>
      <c r="J32" s="31">
        <f t="shared" si="13"/>
        <v>44.616896663008575</v>
      </c>
      <c r="L32" t="str">
        <f>$A$14</f>
        <v>Sales and customer service occupations</v>
      </c>
      <c r="M32" s="322">
        <f t="shared" ref="M32:Q32" si="30">M14/M$18*100</f>
        <v>6.3557809611786587</v>
      </c>
      <c r="N32" s="322">
        <f t="shared" si="30"/>
        <v>5.8961167557704437</v>
      </c>
      <c r="O32" s="322">
        <f t="shared" si="30"/>
        <v>6.3075888857685563</v>
      </c>
      <c r="P32" s="322">
        <f t="shared" si="30"/>
        <v>6.4643332451106996</v>
      </c>
      <c r="Q32" s="322">
        <f t="shared" si="30"/>
        <v>6.5016656180771983</v>
      </c>
      <c r="S32" s="31">
        <f t="shared" si="15"/>
        <v>6.3216334807313048</v>
      </c>
      <c r="T32" s="31">
        <f t="shared" si="16"/>
        <v>34.598514196432198</v>
      </c>
      <c r="U32" s="31">
        <f t="shared" si="17"/>
        <v>40.920147677163499</v>
      </c>
      <c r="W32" t="str">
        <f>$A$14</f>
        <v>Sales and customer service occupations</v>
      </c>
      <c r="X32" s="322">
        <f t="shared" ref="X32:AB32" si="31">X14/X$18*100</f>
        <v>11.278995040678055</v>
      </c>
      <c r="Y32" s="322">
        <f t="shared" si="31"/>
        <v>9.9631850312329959</v>
      </c>
      <c r="Z32" s="322">
        <f t="shared" si="31"/>
        <v>9.7875094456619127</v>
      </c>
      <c r="AA32" s="322">
        <f t="shared" si="31"/>
        <v>9.2031780436158908</v>
      </c>
      <c r="AB32" s="322">
        <f t="shared" si="31"/>
        <v>8.5725062225415076</v>
      </c>
      <c r="AD32" s="31">
        <f t="shared" si="19"/>
        <v>-5.817242672669197</v>
      </c>
      <c r="AE32" s="31">
        <f t="shared" si="20"/>
        <v>53.167079418794074</v>
      </c>
      <c r="AF32" s="31">
        <f t="shared" si="21"/>
        <v>47.349836746124865</v>
      </c>
    </row>
    <row r="33" spans="1:32">
      <c r="A33" t="str">
        <f>$A$15</f>
        <v>Process, plant and machine operatives</v>
      </c>
      <c r="B33" s="322">
        <f t="shared" si="8"/>
        <v>9.3244120522857958</v>
      </c>
      <c r="C33" s="322">
        <f t="shared" si="8"/>
        <v>9.1330922900737441</v>
      </c>
      <c r="D33" s="322">
        <f t="shared" si="8"/>
        <v>8.1335877310080456</v>
      </c>
      <c r="E33" s="322">
        <f t="shared" si="8"/>
        <v>8.2121641743469684</v>
      </c>
      <c r="F33" s="322">
        <f t="shared" si="8"/>
        <v>7.701925442692974</v>
      </c>
      <c r="G33" s="11"/>
      <c r="H33" s="31">
        <f t="shared" si="11"/>
        <v>-0.39306978072475496</v>
      </c>
      <c r="I33" s="31">
        <f t="shared" si="12"/>
        <v>48.23886776311813</v>
      </c>
      <c r="J33" s="31">
        <f t="shared" si="13"/>
        <v>47.845797982393378</v>
      </c>
      <c r="L33" t="str">
        <f>$A$15</f>
        <v>Process, plant and machine operatives</v>
      </c>
      <c r="M33" s="322">
        <f t="shared" ref="M33:Q33" si="32">M15/M$18*100</f>
        <v>14.917450089489689</v>
      </c>
      <c r="N33" s="322">
        <f t="shared" si="32"/>
        <v>14.750853972447292</v>
      </c>
      <c r="O33" s="322">
        <f t="shared" si="32"/>
        <v>13.31904504301164</v>
      </c>
      <c r="P33" s="322">
        <f t="shared" si="32"/>
        <v>13.233182504407932</v>
      </c>
      <c r="Q33" s="322">
        <f t="shared" si="32"/>
        <v>12.442952827020273</v>
      </c>
      <c r="R33" s="11"/>
      <c r="S33" s="31">
        <f t="shared" si="15"/>
        <v>-3.6369013556543561</v>
      </c>
      <c r="T33" s="31">
        <f t="shared" si="16"/>
        <v>45.936807244638374</v>
      </c>
      <c r="U33" s="31">
        <f t="shared" si="17"/>
        <v>42.299905888984021</v>
      </c>
      <c r="W33" t="str">
        <f>$A$15</f>
        <v>Process, plant and machine operatives</v>
      </c>
      <c r="X33" s="322">
        <f t="shared" ref="X33:AB33" si="33">X15/X$18*100</f>
        <v>2.4658230754782768</v>
      </c>
      <c r="Y33" s="322">
        <f t="shared" si="33"/>
        <v>2.5102019301486433</v>
      </c>
      <c r="Z33" s="322">
        <f t="shared" si="33"/>
        <v>2.1851074498885401</v>
      </c>
      <c r="AA33" s="322">
        <f t="shared" si="33"/>
        <v>2.5247354210437809</v>
      </c>
      <c r="AB33" s="322">
        <f t="shared" si="33"/>
        <v>2.4849831792287032</v>
      </c>
      <c r="AC33" s="11"/>
      <c r="AD33" s="31">
        <f t="shared" si="19"/>
        <v>22.288731941267269</v>
      </c>
      <c r="AE33" s="31">
        <f t="shared" si="20"/>
        <v>64.335535862576563</v>
      </c>
      <c r="AF33" s="31">
        <f t="shared" si="21"/>
        <v>86.624267803843836</v>
      </c>
    </row>
    <row r="34" spans="1:32">
      <c r="A34" t="str">
        <f>$A$16</f>
        <v>Elementary occupations</v>
      </c>
      <c r="B34" s="322">
        <f t="shared" si="8"/>
        <v>11.266657366268603</v>
      </c>
      <c r="C34" s="322">
        <f t="shared" si="8"/>
        <v>10.118810428679199</v>
      </c>
      <c r="D34" s="322">
        <f t="shared" si="8"/>
        <v>9.3283742250192176</v>
      </c>
      <c r="E34" s="322">
        <f t="shared" si="8"/>
        <v>9.4926190799642018</v>
      </c>
      <c r="F34" s="322">
        <f t="shared" si="8"/>
        <v>8.8089818201452363</v>
      </c>
      <c r="G34" s="11"/>
      <c r="H34" s="31">
        <f t="shared" si="11"/>
        <v>-0.66731964445356762</v>
      </c>
      <c r="I34" s="31">
        <f t="shared" si="12"/>
        <v>49.253721385081391</v>
      </c>
      <c r="J34" s="31">
        <f t="shared" si="13"/>
        <v>48.586401740627821</v>
      </c>
      <c r="L34" t="str">
        <f>$A$16</f>
        <v>Elementary occupations</v>
      </c>
      <c r="M34" s="322">
        <f t="shared" ref="M34:Q34" si="34">M16/M$18*100</f>
        <v>11.569327361493857</v>
      </c>
      <c r="N34" s="322">
        <f t="shared" si="34"/>
        <v>9.9055402046923611</v>
      </c>
      <c r="O34" s="322">
        <f t="shared" si="34"/>
        <v>9.5876695803896048</v>
      </c>
      <c r="P34" s="322">
        <f t="shared" si="34"/>
        <v>10.099148836081326</v>
      </c>
      <c r="Q34" s="322">
        <f t="shared" si="34"/>
        <v>9.5544053930942994</v>
      </c>
      <c r="R34" s="11"/>
      <c r="S34" s="31">
        <f t="shared" si="15"/>
        <v>2.7900306538073649</v>
      </c>
      <c r="T34" s="31">
        <f t="shared" si="16"/>
        <v>40.272357044679893</v>
      </c>
      <c r="U34" s="31">
        <f t="shared" si="17"/>
        <v>43.062387698487264</v>
      </c>
      <c r="W34" t="str">
        <f>$A$16</f>
        <v>Elementary occupations</v>
      </c>
      <c r="X34" s="322">
        <f t="shared" ref="X34:AB34" si="35">X16/X$18*100</f>
        <v>10.895501461543136</v>
      </c>
      <c r="Y34" s="322">
        <f t="shared" si="35"/>
        <v>10.370238913966007</v>
      </c>
      <c r="Z34" s="322">
        <f t="shared" si="35"/>
        <v>9.0309244118974181</v>
      </c>
      <c r="AA34" s="322">
        <f t="shared" si="35"/>
        <v>8.8055881735001478</v>
      </c>
      <c r="AB34" s="322">
        <f t="shared" si="35"/>
        <v>7.9887309701383327</v>
      </c>
      <c r="AC34" s="11"/>
      <c r="AD34" s="31">
        <f t="shared" si="19"/>
        <v>-4.8779120087725394</v>
      </c>
      <c r="AE34" s="31">
        <f t="shared" si="20"/>
        <v>60.191827405718549</v>
      </c>
      <c r="AF34" s="31">
        <f t="shared" si="21"/>
        <v>55.313915396946001</v>
      </c>
    </row>
    <row r="35" spans="1:32">
      <c r="B35" s="322"/>
      <c r="C35" s="322"/>
      <c r="D35" s="322"/>
      <c r="E35" s="322"/>
      <c r="F35" s="322"/>
      <c r="G35" s="11"/>
      <c r="H35" s="31"/>
      <c r="I35" s="31"/>
      <c r="J35" s="31"/>
      <c r="M35" s="322"/>
      <c r="N35" s="322"/>
      <c r="O35" s="322"/>
      <c r="P35" s="322"/>
      <c r="Q35" s="322"/>
      <c r="R35" s="11"/>
      <c r="S35" s="31"/>
      <c r="T35" s="31"/>
      <c r="U35" s="31"/>
      <c r="X35" s="322"/>
      <c r="Y35" s="322"/>
      <c r="Z35" s="322"/>
      <c r="AA35" s="322"/>
      <c r="AB35" s="322"/>
      <c r="AC35" s="11"/>
      <c r="AD35" s="31"/>
      <c r="AE35" s="31"/>
      <c r="AF35" s="31"/>
    </row>
    <row r="36" spans="1:32">
      <c r="A36" s="22" t="str">
        <f>$A$18</f>
        <v>All occupations</v>
      </c>
      <c r="B36" s="361">
        <f>B18/B$18*100</f>
        <v>100</v>
      </c>
      <c r="C36" s="361">
        <f>C18/C$18*100</f>
        <v>100</v>
      </c>
      <c r="D36" s="361">
        <f>D18/D$18*100</f>
        <v>100</v>
      </c>
      <c r="E36" s="361">
        <f>E18/E$18*100</f>
        <v>100</v>
      </c>
      <c r="F36" s="361">
        <f>F18/F$18*100</f>
        <v>100</v>
      </c>
      <c r="G36" s="11"/>
      <c r="H36" s="34">
        <f t="shared" si="11"/>
        <v>5.1895024929765095</v>
      </c>
      <c r="I36" s="34">
        <f t="shared" si="12"/>
        <v>49.520593478935126</v>
      </c>
      <c r="J36" s="34">
        <f t="shared" si="13"/>
        <v>54.710095971911635</v>
      </c>
      <c r="L36" s="22" t="str">
        <f>$A$18</f>
        <v>All occupations</v>
      </c>
      <c r="M36" s="361">
        <f>M18/M$18*100</f>
        <v>100</v>
      </c>
      <c r="N36" s="361">
        <f>N18/N$18*100</f>
        <v>100</v>
      </c>
      <c r="O36" s="361">
        <f>O18/O$18*100</f>
        <v>100</v>
      </c>
      <c r="P36" s="361">
        <f>P18/P$18*100</f>
        <v>100</v>
      </c>
      <c r="Q36" s="361">
        <f>Q18/Q$18*100</f>
        <v>100</v>
      </c>
      <c r="R36" s="11"/>
      <c r="S36" s="34">
        <f t="shared" ref="S36" si="36">IF(O18&gt;0,(S18/O18)*100,0)</f>
        <v>3.1478997928151822</v>
      </c>
      <c r="T36" s="34">
        <f t="shared" ref="T36" si="37">IF(O18&gt;0,(T18/O18)*100,0)</f>
        <v>40.86761285097932</v>
      </c>
      <c r="U36" s="34">
        <f t="shared" ref="U36" si="38">IF(O18&gt;0,(U18/O18)*100,0)</f>
        <v>44.015512643794509</v>
      </c>
      <c r="W36" s="22" t="str">
        <f>$A$18</f>
        <v>All occupations</v>
      </c>
      <c r="X36" s="361">
        <f>X18/X$18*100</f>
        <v>100</v>
      </c>
      <c r="Y36" s="361">
        <f>Y18/Y$18*100</f>
        <v>100</v>
      </c>
      <c r="Z36" s="361">
        <f>Z18/Z$18*100</f>
        <v>100</v>
      </c>
      <c r="AA36" s="361">
        <f>AA18/AA$18*100</f>
        <v>100</v>
      </c>
      <c r="AB36" s="361">
        <f>AB18/AB$18*100</f>
        <v>100</v>
      </c>
      <c r="AC36" s="11"/>
      <c r="AD36" s="34">
        <f t="shared" ref="AD36" si="39">IF(Z18&gt;0,(AD18/Z18)*100,0)</f>
        <v>7.5315203080064608</v>
      </c>
      <c r="AE36" s="34">
        <f t="shared" ref="AE36" si="40">IF(Z18&gt;0,(AE18/Z18)*100,0)</f>
        <v>59.446831714308026</v>
      </c>
      <c r="AF36" s="34">
        <f t="shared" ref="AF36" si="41">IF(Z18&gt;0,(AF18/Z18)*100,0)</f>
        <v>66.978352022314482</v>
      </c>
    </row>
    <row r="37" spans="1:32">
      <c r="B37" s="322"/>
      <c r="C37" s="322"/>
      <c r="D37" s="322"/>
      <c r="E37" s="322"/>
      <c r="F37" s="322"/>
      <c r="G37" s="11"/>
      <c r="M37" s="322"/>
      <c r="N37" s="322"/>
      <c r="O37" s="322"/>
      <c r="P37" s="322"/>
      <c r="Q37" s="322"/>
      <c r="R37" s="11"/>
      <c r="X37" s="322"/>
      <c r="Y37" s="322"/>
      <c r="Z37" s="322"/>
      <c r="AA37" s="322"/>
      <c r="AB37" s="322"/>
      <c r="AC37" s="11"/>
    </row>
    <row r="38" spans="1:32">
      <c r="B38" s="322"/>
      <c r="C38" s="322"/>
      <c r="D38" s="322"/>
      <c r="E38" s="322"/>
      <c r="F38" s="322"/>
      <c r="G38" s="11"/>
      <c r="M38" s="322"/>
      <c r="N38" s="322"/>
      <c r="O38" s="322"/>
      <c r="P38" s="322"/>
      <c r="Q38" s="322"/>
      <c r="R38" s="11"/>
      <c r="X38" s="322"/>
      <c r="Y38" s="322"/>
      <c r="Z38" s="322"/>
      <c r="AA38" s="322"/>
      <c r="AB38" s="322"/>
      <c r="AC38" s="11"/>
    </row>
    <row r="39" spans="1:32" ht="15.75">
      <c r="A39" s="18" t="str">
        <f>CONCATENATE(A$1," (Continued)")</f>
        <v>Occupation Table 1  Employment Change by Occupation Group (SOC 2020) and Replacement Demand, 2015-2035, Black Country (Continued)</v>
      </c>
      <c r="B39" s="322"/>
      <c r="C39" s="322"/>
      <c r="D39" s="322"/>
      <c r="E39" s="322"/>
      <c r="F39" s="322"/>
      <c r="G39" s="11"/>
      <c r="L39" s="18" t="str">
        <f>CONCATENATE(L$1," (Continued)")</f>
        <v>Occupation Table 1.1  Males: Employment Change by Occupation Group (SOC 2020) and Replacement Demand, 2015-2035, Black Country (Continued)</v>
      </c>
      <c r="M39" s="322"/>
      <c r="N39" s="322"/>
      <c r="O39" s="322"/>
      <c r="P39" s="322"/>
      <c r="Q39" s="322"/>
      <c r="R39" s="11"/>
      <c r="W39" s="18" t="str">
        <f>CONCATENATE(W$1," (Continued)")</f>
        <v>Occupation Table 1.2  Females: Employment Change by Occupation Group (SOC 2020) and Replacement Demand, 2015-2035, Black Country (Continued)</v>
      </c>
      <c r="X39" s="322"/>
      <c r="Y39" s="322"/>
      <c r="Z39" s="322"/>
      <c r="AA39" s="322"/>
      <c r="AB39" s="322"/>
      <c r="AC39" s="11"/>
    </row>
    <row r="40" spans="1:32">
      <c r="B40" s="322"/>
      <c r="C40" s="322"/>
      <c r="D40" s="322"/>
      <c r="E40" s="322"/>
      <c r="F40" s="322"/>
      <c r="G40" s="11"/>
      <c r="M40" s="322"/>
      <c r="N40" s="322"/>
      <c r="O40" s="322"/>
      <c r="P40" s="322"/>
      <c r="Q40" s="322"/>
      <c r="R40" s="11"/>
      <c r="X40" s="322"/>
      <c r="Y40" s="322"/>
      <c r="Z40" s="322"/>
      <c r="AA40" s="322"/>
      <c r="AB40" s="322"/>
      <c r="AC40" s="11"/>
    </row>
    <row r="41" spans="1:32">
      <c r="B41" s="322"/>
      <c r="C41" s="322"/>
      <c r="D41" s="322"/>
      <c r="E41" s="322"/>
      <c r="F41" s="16" t="s">
        <v>159</v>
      </c>
      <c r="G41" s="11"/>
      <c r="J41" s="16" t="s">
        <v>159</v>
      </c>
      <c r="M41" s="322"/>
      <c r="N41" s="322"/>
      <c r="O41" s="322"/>
      <c r="P41" s="322"/>
      <c r="Q41" s="16" t="s">
        <v>159</v>
      </c>
      <c r="R41" s="11"/>
      <c r="U41" s="16" t="s">
        <v>159</v>
      </c>
      <c r="X41" s="322"/>
      <c r="Y41" s="322"/>
      <c r="Z41" s="322"/>
      <c r="AA41" s="322"/>
      <c r="AB41" s="16" t="s">
        <v>159</v>
      </c>
      <c r="AC41" s="11"/>
      <c r="AF41" s="16" t="s">
        <v>159</v>
      </c>
    </row>
    <row r="42" spans="1:32">
      <c r="A42" s="29"/>
      <c r="B42" s="367"/>
      <c r="C42" s="367"/>
      <c r="D42" s="367"/>
      <c r="E42" s="367"/>
      <c r="F42" s="367"/>
      <c r="G42" s="11"/>
      <c r="H42" s="24" t="str">
        <f>H4</f>
        <v>2020-2035</v>
      </c>
      <c r="I42" s="29"/>
      <c r="J42" s="29"/>
      <c r="L42" s="29"/>
      <c r="M42" s="367"/>
      <c r="N42" s="367"/>
      <c r="O42" s="367"/>
      <c r="P42" s="367"/>
      <c r="Q42" s="367"/>
      <c r="R42" s="11"/>
      <c r="S42" s="24" t="str">
        <f>S4</f>
        <v>2020-2035</v>
      </c>
      <c r="T42" s="29"/>
      <c r="U42" s="29"/>
      <c r="W42" s="29"/>
      <c r="X42" s="367"/>
      <c r="Y42" s="367"/>
      <c r="Z42" s="367"/>
      <c r="AA42" s="367"/>
      <c r="AB42" s="367"/>
      <c r="AC42" s="11"/>
      <c r="AD42" s="24" t="str">
        <f>AD4</f>
        <v>2020-2035</v>
      </c>
      <c r="AE42" s="29"/>
      <c r="AF42" s="29"/>
    </row>
    <row r="43" spans="1:3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>
      <c r="A44" s="32" t="s">
        <v>160</v>
      </c>
      <c r="B44" s="52" t="str">
        <f>CONCATENATE(B$6,"-",C$6)</f>
        <v>2015-2019</v>
      </c>
      <c r="C44" s="52" t="str">
        <f>CONCATENATE(C$6,"-",D$6)</f>
        <v>2019-2020</v>
      </c>
      <c r="D44" s="52" t="str">
        <f>CONCATENATE(D$6,"-",E$6)</f>
        <v>2020-2025</v>
      </c>
      <c r="E44" s="52" t="str">
        <f>CONCATENATE(E$6,"-",F$6)</f>
        <v>2025-2035</v>
      </c>
      <c r="F44" s="52" t="str">
        <f>CONCATENATE(D$6,"-",F$6)</f>
        <v>2020-2035</v>
      </c>
      <c r="H44" s="22" t="str">
        <f>H6</f>
        <v>Change</v>
      </c>
      <c r="I44" s="22" t="str">
        <f>I6</f>
        <v>Demand</v>
      </c>
      <c r="J44" s="22" t="str">
        <f>J6</f>
        <v>Requirement</v>
      </c>
      <c r="L44" s="32" t="s">
        <v>160</v>
      </c>
      <c r="M44" s="52" t="str">
        <f>CONCATENATE(M$6,"-",N$6)</f>
        <v>2015-2019</v>
      </c>
      <c r="N44" s="52" t="str">
        <f>CONCATENATE(N$6,"-",O$6)</f>
        <v>2019-2020</v>
      </c>
      <c r="O44" s="52" t="str">
        <f>CONCATENATE(O$6,"-",P$6)</f>
        <v>2020-2025</v>
      </c>
      <c r="P44" s="52" t="str">
        <f>CONCATENATE(P$6,"-",Q$6)</f>
        <v>2025-2035</v>
      </c>
      <c r="Q44" s="52" t="str">
        <f>CONCATENATE(O$6,"-",Q$6)</f>
        <v>2020-2035</v>
      </c>
      <c r="S44" s="22" t="str">
        <f>S6</f>
        <v>Change</v>
      </c>
      <c r="T44" s="22" t="str">
        <f>T6</f>
        <v>Demand</v>
      </c>
      <c r="U44" s="22" t="str">
        <f>U6</f>
        <v>Requirement</v>
      </c>
      <c r="W44" s="32" t="s">
        <v>160</v>
      </c>
      <c r="X44" s="52" t="str">
        <f>CONCATENATE(X$6,"-",Y$6)</f>
        <v>2015-2019</v>
      </c>
      <c r="Y44" s="52" t="str">
        <f>CONCATENATE(Y$6,"-",Z$6)</f>
        <v>2019-2020</v>
      </c>
      <c r="Z44" s="52" t="str">
        <f>CONCATENATE(Z$6,"-",AA$6)</f>
        <v>2020-2025</v>
      </c>
      <c r="AA44" s="52" t="str">
        <f>CONCATENATE(AA$6,"-",AB$6)</f>
        <v>2025-2035</v>
      </c>
      <c r="AB44" s="52" t="str">
        <f>CONCATENATE(Z$6,"-",AB$6)</f>
        <v>2020-2035</v>
      </c>
      <c r="AD44" s="22" t="str">
        <f>AD6</f>
        <v>Change</v>
      </c>
      <c r="AE44" s="22" t="str">
        <f>AE6</f>
        <v>Demand</v>
      </c>
      <c r="AF44" s="22" t="str">
        <f>AF6</f>
        <v>Requirement</v>
      </c>
    </row>
    <row r="45" spans="1:32">
      <c r="A45" s="1"/>
      <c r="B45" s="19"/>
      <c r="C45" s="19"/>
      <c r="D45" s="19"/>
      <c r="E45" s="19"/>
      <c r="F45" s="19"/>
      <c r="L45" s="1"/>
      <c r="M45" s="19"/>
      <c r="N45" s="19"/>
      <c r="O45" s="19"/>
      <c r="P45" s="19"/>
      <c r="Q45" s="19"/>
      <c r="W45" s="1"/>
      <c r="X45" s="19"/>
      <c r="Y45" s="19"/>
      <c r="Z45" s="19"/>
      <c r="AA45" s="19"/>
      <c r="AB45" s="19"/>
    </row>
    <row r="46" spans="1:32">
      <c r="A46" t="str">
        <f>$A$8</f>
        <v>Managers, directors and senior officials</v>
      </c>
      <c r="B46" s="322">
        <f t="shared" ref="B46:E54" si="42">IF(C$6-B$6 &lt;&gt; 0,(EXP(LN(C8/B8)/(C$6-B$6))-1)*100,0)</f>
        <v>2.2535150400792237</v>
      </c>
      <c r="C46" s="322">
        <f t="shared" si="42"/>
        <v>3.1399608056009942</v>
      </c>
      <c r="D46" s="322">
        <f t="shared" si="42"/>
        <v>-1.2719130547734658</v>
      </c>
      <c r="E46" s="322">
        <f t="shared" si="42"/>
        <v>0.93833309451352154</v>
      </c>
      <c r="F46" s="322">
        <f>IF(F$6-D$6 &lt;&gt; 0,(EXP(LN(F8/D8)/(F$6-D$6))-1)*100,0)</f>
        <v>0.1961404623199936</v>
      </c>
      <c r="H46" s="322">
        <f>IF($F$6-$D$6 &lt;&gt; 0,(EXP(LN(1+(H26/100))/($F$6-$D$6))-1)*100,0)</f>
        <v>0.1961404623199936</v>
      </c>
      <c r="I46" s="322">
        <f>IF($F$6-$D$6 &lt;&gt; 0,(EXP(LN(1+(I26/100))/($F$6-$D$6))-1)*100,0)</f>
        <v>2.8028431090559192</v>
      </c>
      <c r="J46" s="322">
        <f>IF($F$6-$D$6 &lt;&gt; 0,(EXP(LN(1+(J26/100))/($F$6-$D$6))-1)*100,0)</f>
        <v>2.9366586340927148</v>
      </c>
      <c r="L46" t="str">
        <f>$A$8</f>
        <v>Managers, directors and senior officials</v>
      </c>
      <c r="M46" s="322">
        <f t="shared" ref="M46:M54" si="43">IF(N$6-M$6 &lt;&gt; 0,(EXP(LN(N8/M8)/(N$6-M$6))-1)*100,0)</f>
        <v>1.6906941160654387</v>
      </c>
      <c r="N46" s="322">
        <f t="shared" ref="N46:N54" si="44">IF(O$6-N$6 &lt;&gt; 0,(EXP(LN(O8/N8)/(O$6-N$6))-1)*100,0)</f>
        <v>-0.38623462662806807</v>
      </c>
      <c r="O46" s="322">
        <f t="shared" ref="O46:O54" si="45">IF(P$6-O$6 &lt;&gt; 0,(EXP(LN(P8/O8)/(P$6-O$6))-1)*100,0)</f>
        <v>-1.4610556132937269</v>
      </c>
      <c r="P46" s="322">
        <f t="shared" ref="P46:P54" si="46">IF(Q$6-P$6 &lt;&gt; 0,(EXP(LN(Q8/P8)/(Q$6-P$6))-1)*100,0)</f>
        <v>0.6216736998980732</v>
      </c>
      <c r="Q46" s="322">
        <f>IF(Q$6-O$6 &lt;&gt; 0,(EXP(LN(Q8/O8)/(Q$6-O$6))-1)*100,0)</f>
        <v>-7.7415214087228623E-2</v>
      </c>
      <c r="S46" s="322">
        <f>IF($F$6-$D$6 &lt;&gt; 0,(EXP(LN(1+(S26/100))/($F$6-$D$6))-1)*100,0)</f>
        <v>-7.7415214087228623E-2</v>
      </c>
      <c r="T46" s="322">
        <f>IF($F$6-$D$6 &lt;&gt; 0,(EXP(LN(1+(T26/100))/($F$6-$D$6))-1)*100,0)</f>
        <v>2.5410679900462974</v>
      </c>
      <c r="U46" s="322">
        <f>IF($F$6-$D$6 &lt;&gt; 0,(EXP(LN(1+(U26/100))/($F$6-$D$6))-1)*100,0)</f>
        <v>2.4866783167065698</v>
      </c>
      <c r="W46" t="str">
        <f>$A$8</f>
        <v>Managers, directors and senior officials</v>
      </c>
      <c r="X46" s="322">
        <f t="shared" ref="X46:X54" si="47">IF(Y$6-X$6 &lt;&gt; 0,(EXP(LN(Y8/X8)/(Y$6-X$6))-1)*100,0)</f>
        <v>3.4457113981530618</v>
      </c>
      <c r="Y46" s="322">
        <f t="shared" ref="Y46:Y54" si="48">IF(Z$6-Y$6 &lt;&gt; 0,(EXP(LN(Z8/Y8)/(Z$6-Y$6))-1)*100,0)</f>
        <v>10.297008975592249</v>
      </c>
      <c r="Z46" s="322">
        <f t="shared" ref="Z46:Z54" si="49">IF(AA$6-Z$6 &lt;&gt; 0,(EXP(LN(AA8/Z8)/(AA$6-Z$6))-1)*100,0)</f>
        <v>-0.92891568157997817</v>
      </c>
      <c r="AA46" s="322">
        <f t="shared" ref="AA46:AA54" si="50">IF(AB$6-AA$6 &lt;&gt; 0,(EXP(LN(AB8/AA8)/(AB$6-AA$6))-1)*100,0)</f>
        <v>1.4820915917385324</v>
      </c>
      <c r="AB46" s="322">
        <f>IF(AB$6-Z$6 &lt;&gt; 0,(EXP(LN(AB8/Z8)/(AB$6-Z$6))-1)*100,0)</f>
        <v>0.67197262997948926</v>
      </c>
      <c r="AD46" s="322">
        <f>IF($F$6-$D$6 &lt;&gt; 0,(EXP(LN(1+(AD26/100))/($F$6-$D$6))-1)*100,0)</f>
        <v>0.67197262997948926</v>
      </c>
      <c r="AE46" s="322">
        <f>IF($F$6-$D$6 &lt;&gt; 0,(EXP(LN(1+(AE26/100))/($F$6-$D$6))-1)*100,0)</f>
        <v>3.2597478047787565</v>
      </c>
      <c r="AF46" s="322">
        <f>IF($F$6-$D$6 &lt;&gt; 0,(EXP(LN(1+(AF26/100))/($F$6-$D$6))-1)*100,0)</f>
        <v>3.6962266663126409</v>
      </c>
    </row>
    <row r="47" spans="1:32">
      <c r="A47" t="str">
        <f>$A$9</f>
        <v>Professional occupations</v>
      </c>
      <c r="B47" s="322">
        <f t="shared" si="42"/>
        <v>3.0878921424440708</v>
      </c>
      <c r="C47" s="322">
        <f t="shared" si="42"/>
        <v>4.5261949315445138</v>
      </c>
      <c r="D47" s="322">
        <f t="shared" si="42"/>
        <v>1.2101304974909022</v>
      </c>
      <c r="E47" s="322">
        <f t="shared" si="42"/>
        <v>1.0226215468854605</v>
      </c>
      <c r="F47" s="322">
        <f>IF(F$6-D$6 &lt;&gt; 0,(EXP(LN(F9/D9)/(F$6-D$6))-1)*100,0)</f>
        <v>1.0850858994736923</v>
      </c>
      <c r="H47" s="322">
        <f t="shared" ref="H47:J56" si="51">IF($F$6-$D$6 &lt;&gt; 0,(EXP(LN(1+(H27/100))/($F$6-$D$6))-1)*100,0)</f>
        <v>1.0850858994736923</v>
      </c>
      <c r="I47" s="322">
        <f t="shared" si="51"/>
        <v>2.754392796990035</v>
      </c>
      <c r="J47" s="322">
        <f t="shared" si="51"/>
        <v>3.5145659128100304</v>
      </c>
      <c r="L47" t="str">
        <f>$A$9</f>
        <v>Professional occupations</v>
      </c>
      <c r="M47" s="322">
        <f t="shared" si="43"/>
        <v>2.0892096838940111</v>
      </c>
      <c r="N47" s="322">
        <f t="shared" si="44"/>
        <v>5.2140965908272108</v>
      </c>
      <c r="O47" s="322">
        <f t="shared" si="45"/>
        <v>1.8024792864737016</v>
      </c>
      <c r="P47" s="322">
        <f t="shared" si="46"/>
        <v>0.82362564681839334</v>
      </c>
      <c r="Q47" s="322">
        <f>IF(Q$6-O$6 &lt;&gt; 0,(EXP(LN(Q9/O9)/(Q$6-O$6))-1)*100,0)</f>
        <v>1.1488599327983184</v>
      </c>
      <c r="S47" s="322">
        <f t="shared" ref="S47:U47" si="52">IF($F$6-$D$6 &lt;&gt; 0,(EXP(LN(1+(S27/100))/($F$6-$D$6))-1)*100,0)</f>
        <v>1.1488599327983184</v>
      </c>
      <c r="T47" s="322">
        <f t="shared" si="52"/>
        <v>2.3467084809642103</v>
      </c>
      <c r="U47" s="322">
        <f t="shared" si="52"/>
        <v>3.196059173850041</v>
      </c>
      <c r="W47" t="str">
        <f>$A$9</f>
        <v>Professional occupations</v>
      </c>
      <c r="X47" s="322">
        <f t="shared" si="47"/>
        <v>4.134401708827995</v>
      </c>
      <c r="Y47" s="322">
        <f t="shared" si="48"/>
        <v>3.8402201581875461</v>
      </c>
      <c r="Z47" s="322">
        <f t="shared" si="49"/>
        <v>0.59719988451012451</v>
      </c>
      <c r="AA47" s="322">
        <f t="shared" si="50"/>
        <v>1.2321739737776616</v>
      </c>
      <c r="AB47" s="322">
        <f>IF(AB$6-Z$6 &lt;&gt; 0,(EXP(LN(AB9/Z9)/(AB$6-Z$6))-1)*100,0)</f>
        <v>1.0200718570586798</v>
      </c>
      <c r="AD47" s="322">
        <f t="shared" ref="AD47:AF47" si="53">IF($F$6-$D$6 &lt;&gt; 0,(EXP(LN(1+(AD27/100))/($F$6-$D$6))-1)*100,0)</f>
        <v>1.0200718570586798</v>
      </c>
      <c r="AE47" s="322">
        <f t="shared" si="53"/>
        <v>3.1445268130077419</v>
      </c>
      <c r="AF47" s="322">
        <f t="shared" si="53"/>
        <v>3.8230248778333475</v>
      </c>
    </row>
    <row r="48" spans="1:32">
      <c r="A48" t="str">
        <f>$A$10</f>
        <v>Associate professional occupations</v>
      </c>
      <c r="B48" s="322">
        <f t="shared" si="42"/>
        <v>1.1337518594024765</v>
      </c>
      <c r="C48" s="322">
        <f t="shared" si="42"/>
        <v>3.5751861850356059</v>
      </c>
      <c r="D48" s="322">
        <f t="shared" si="42"/>
        <v>1.3892586990257971</v>
      </c>
      <c r="E48" s="322">
        <f t="shared" si="42"/>
        <v>0.93439153499115246</v>
      </c>
      <c r="F48" s="322">
        <f t="shared" ref="F48:F56" si="54">IF(F$6-D$6 &lt;&gt; 0,(EXP(LN(F10/D10)/(F$6-D$6))-1)*100,0)</f>
        <v>1.0857867262725973</v>
      </c>
      <c r="H48" s="322">
        <f t="shared" si="51"/>
        <v>1.0857867262725973</v>
      </c>
      <c r="I48" s="322">
        <f t="shared" si="51"/>
        <v>2.8385950102080448</v>
      </c>
      <c r="J48" s="322">
        <f t="shared" si="51"/>
        <v>3.5910554429634312</v>
      </c>
      <c r="L48" t="str">
        <f>$A$10</f>
        <v>Associate professional occupations</v>
      </c>
      <c r="M48" s="322">
        <f t="shared" si="43"/>
        <v>0.15266663956374771</v>
      </c>
      <c r="N48" s="322">
        <f t="shared" si="44"/>
        <v>3.8037221116590914</v>
      </c>
      <c r="O48" s="322">
        <f t="shared" si="45"/>
        <v>-0.762180934204848</v>
      </c>
      <c r="P48" s="322">
        <f>IF(Q$6-P$6 &lt;&gt; 0,(EXP(LN(Q10/P10)/(Q$6-P$6))-1)*100,0)</f>
        <v>0.26492503727229</v>
      </c>
      <c r="Q48" s="322">
        <f t="shared" ref="Q48:Q54" si="55">IF(Q$6-O$6 &lt;&gt; 0,(EXP(LN(Q10/O10)/(Q$6-O$6))-1)*100,0)</f>
        <v>-7.8619384725797659E-2</v>
      </c>
      <c r="S48" s="322">
        <f t="shared" ref="S48:U48" si="56">IF($F$6-$D$6 &lt;&gt; 0,(EXP(LN(1+(S28/100))/($F$6-$D$6))-1)*100,0)</f>
        <v>-7.8619384725797659E-2</v>
      </c>
      <c r="T48" s="322">
        <f t="shared" si="56"/>
        <v>2.1272791356118814</v>
      </c>
      <c r="U48" s="322">
        <f t="shared" si="56"/>
        <v>2.0688141312042108</v>
      </c>
      <c r="W48" t="str">
        <f>$A$10</f>
        <v>Associate professional occupations</v>
      </c>
      <c r="X48" s="322">
        <f t="shared" si="47"/>
        <v>2.343701279458088</v>
      </c>
      <c r="Y48" s="322">
        <f t="shared" si="48"/>
        <v>3.3081740144635052</v>
      </c>
      <c r="Z48" s="322">
        <f t="shared" si="49"/>
        <v>3.7020812153722771</v>
      </c>
      <c r="AA48" s="322">
        <f t="shared" si="50"/>
        <v>1.5305141380114629</v>
      </c>
      <c r="AB48" s="322">
        <f t="shared" ref="AB48:AB54" si="57">IF(AB$6-Z$6 &lt;&gt; 0,(EXP(LN(AB10/Z10)/(AB$6-Z$6))-1)*100,0)</f>
        <v>2.2492696052989647</v>
      </c>
      <c r="AD48" s="322">
        <f t="shared" ref="AD48:AF48" si="58">IF($F$6-$D$6 &lt;&gt; 0,(EXP(LN(1+(AD28/100))/($F$6-$D$6))-1)*100,0)</f>
        <v>2.2492696052989647</v>
      </c>
      <c r="AE48" s="322">
        <f t="shared" si="58"/>
        <v>3.5942740835274156</v>
      </c>
      <c r="AF48" s="322">
        <f t="shared" si="58"/>
        <v>5.0520582169069517</v>
      </c>
    </row>
    <row r="49" spans="1:32">
      <c r="A49" t="str">
        <f>$A$11</f>
        <v>Administrative and secretarial occupations</v>
      </c>
      <c r="B49" s="322">
        <f t="shared" si="42"/>
        <v>-2.3594366184096605</v>
      </c>
      <c r="C49" s="322">
        <f t="shared" si="42"/>
        <v>3.3267194873393358</v>
      </c>
      <c r="D49" s="322">
        <f t="shared" si="42"/>
        <v>0.3601177891572549</v>
      </c>
      <c r="E49" s="322">
        <f t="shared" si="42"/>
        <v>-0.71384547920831931</v>
      </c>
      <c r="F49" s="322">
        <f t="shared" si="54"/>
        <v>-0.35714078831445839</v>
      </c>
      <c r="H49" s="322">
        <f t="shared" si="51"/>
        <v>-0.35714078831445839</v>
      </c>
      <c r="I49" s="322">
        <f t="shared" si="51"/>
        <v>2.7394827884491768</v>
      </c>
      <c r="J49" s="322">
        <f t="shared" si="51"/>
        <v>2.496902708244586</v>
      </c>
      <c r="L49" t="str">
        <f>$A$11</f>
        <v>Administrative and secretarial occupations</v>
      </c>
      <c r="M49" s="322">
        <f t="shared" si="43"/>
        <v>-3.6550874138433942</v>
      </c>
      <c r="N49" s="322">
        <f t="shared" si="44"/>
        <v>18.500238097727983</v>
      </c>
      <c r="O49" s="322">
        <f t="shared" si="45"/>
        <v>1.4191314938125199</v>
      </c>
      <c r="P49" s="322">
        <f t="shared" si="46"/>
        <v>1.1433511822441123</v>
      </c>
      <c r="Q49" s="322">
        <f t="shared" si="55"/>
        <v>1.2351945290573596</v>
      </c>
      <c r="S49" s="322">
        <f t="shared" ref="S49:U49" si="59">IF($F$6-$D$6 &lt;&gt; 0,(EXP(LN(1+(S29/100))/($F$6-$D$6))-1)*100,0)</f>
        <v>1.2351945290573596</v>
      </c>
      <c r="T49" s="322">
        <f t="shared" si="59"/>
        <v>2.3661919350288496</v>
      </c>
      <c r="U49" s="322">
        <f t="shared" si="59"/>
        <v>3.2785807242822651</v>
      </c>
      <c r="W49" t="str">
        <f>$A$11</f>
        <v>Administrative and secretarial occupations</v>
      </c>
      <c r="X49" s="322">
        <f t="shared" si="47"/>
        <v>-1.878824330969564</v>
      </c>
      <c r="Y49" s="322">
        <f t="shared" si="48"/>
        <v>-2.0499881730166147</v>
      </c>
      <c r="Z49" s="322">
        <f t="shared" si="49"/>
        <v>-0.1078999151389759</v>
      </c>
      <c r="AA49" s="322">
        <f t="shared" si="50"/>
        <v>-1.6909326483856013</v>
      </c>
      <c r="AB49" s="322">
        <f t="shared" si="57"/>
        <v>-1.1660623307845674</v>
      </c>
      <c r="AD49" s="322">
        <f t="shared" ref="AD49:AF49" si="60">IF($F$6-$D$6 &lt;&gt; 0,(EXP(LN(1+(AD29/100))/($F$6-$D$6))-1)*100,0)</f>
        <v>-1.1660623307845674</v>
      </c>
      <c r="AE49" s="322">
        <f t="shared" si="60"/>
        <v>2.893868157500834</v>
      </c>
      <c r="AF49" s="322">
        <f t="shared" si="60"/>
        <v>2.1344752212193674</v>
      </c>
    </row>
    <row r="50" spans="1:32">
      <c r="A50" t="str">
        <f>$A$12</f>
        <v>Skilled trades occupations</v>
      </c>
      <c r="B50" s="322">
        <f t="shared" si="42"/>
        <v>0.25885294966077055</v>
      </c>
      <c r="C50" s="322">
        <f t="shared" si="42"/>
        <v>-15.666269572160873</v>
      </c>
      <c r="D50" s="322">
        <f t="shared" si="42"/>
        <v>-0.46328174189397275</v>
      </c>
      <c r="E50" s="322">
        <f t="shared" si="42"/>
        <v>-0.87022126320748239</v>
      </c>
      <c r="F50" s="322">
        <f t="shared" si="54"/>
        <v>-0.73475994895060293</v>
      </c>
      <c r="H50" s="322">
        <f t="shared" si="51"/>
        <v>-0.73475994895060293</v>
      </c>
      <c r="I50" s="322">
        <f t="shared" si="51"/>
        <v>2.2187715667513652</v>
      </c>
      <c r="J50" s="322">
        <f t="shared" si="51"/>
        <v>1.6863157934123629</v>
      </c>
      <c r="L50" t="str">
        <f>$A$12</f>
        <v>Skilled trades occupations</v>
      </c>
      <c r="M50" s="322">
        <f t="shared" si="43"/>
        <v>0.37371384082260928</v>
      </c>
      <c r="N50" s="322">
        <f t="shared" si="44"/>
        <v>-17.46325024898</v>
      </c>
      <c r="O50" s="322">
        <f t="shared" si="45"/>
        <v>-0.59378038985532511</v>
      </c>
      <c r="P50" s="322">
        <f t="shared" si="46"/>
        <v>-1.0142196710123397</v>
      </c>
      <c r="Q50" s="322">
        <f t="shared" si="55"/>
        <v>-0.87427119971423828</v>
      </c>
      <c r="S50" s="322">
        <f t="shared" ref="S50:U50" si="61">IF($F$6-$D$6 &lt;&gt; 0,(EXP(LN(1+(S30/100))/($F$6-$D$6))-1)*100,0)</f>
        <v>-0.87427119971423828</v>
      </c>
      <c r="T50" s="322">
        <f t="shared" si="61"/>
        <v>2.1081461526034184</v>
      </c>
      <c r="U50" s="322">
        <f t="shared" si="61"/>
        <v>1.4663064574768292</v>
      </c>
      <c r="W50" t="str">
        <f>$A$12</f>
        <v>Skilled trades occupations</v>
      </c>
      <c r="X50" s="322">
        <f t="shared" si="47"/>
        <v>-1.2101271546279602</v>
      </c>
      <c r="Y50" s="322">
        <f t="shared" si="48"/>
        <v>8.2511782560048985</v>
      </c>
      <c r="Z50" s="322">
        <f t="shared" si="49"/>
        <v>0.82384650126947623</v>
      </c>
      <c r="AA50" s="322">
        <f t="shared" si="50"/>
        <v>0.40583117229251453</v>
      </c>
      <c r="AB50" s="322">
        <f t="shared" si="57"/>
        <v>0.54497669401818438</v>
      </c>
      <c r="AD50" s="322">
        <f t="shared" ref="AD50:AF50" si="62">IF($F$6-$D$6 &lt;&gt; 0,(EXP(LN(1+(AD30/100))/($F$6-$D$6))-1)*100,0)</f>
        <v>0.54497669401818438</v>
      </c>
      <c r="AE50" s="322">
        <f t="shared" si="62"/>
        <v>3.2559420537608075</v>
      </c>
      <c r="AF50" s="322">
        <f t="shared" si="62"/>
        <v>3.6089518458450653</v>
      </c>
    </row>
    <row r="51" spans="1:32">
      <c r="A51" t="str">
        <f>$A$13</f>
        <v>Caring, leisure and other service occupations</v>
      </c>
      <c r="B51" s="322">
        <f t="shared" si="42"/>
        <v>0.48162865360097395</v>
      </c>
      <c r="C51" s="322">
        <f t="shared" si="42"/>
        <v>-4.1194100247277321</v>
      </c>
      <c r="D51" s="322">
        <f t="shared" si="42"/>
        <v>0.38598983071498338</v>
      </c>
      <c r="E51" s="322">
        <f t="shared" si="42"/>
        <v>0.69782059897185444</v>
      </c>
      <c r="F51" s="322">
        <f t="shared" si="54"/>
        <v>0.5937695306053703</v>
      </c>
      <c r="H51" s="322">
        <f t="shared" si="51"/>
        <v>0.5937695306053703</v>
      </c>
      <c r="I51" s="322">
        <f t="shared" si="51"/>
        <v>3.0999250443356718</v>
      </c>
      <c r="J51" s="322">
        <f t="shared" si="51"/>
        <v>3.4930336658071326</v>
      </c>
      <c r="L51" t="str">
        <f>$A$13</f>
        <v>Caring, leisure and other service occupations</v>
      </c>
      <c r="M51" s="322">
        <f t="shared" si="43"/>
        <v>-0.31969031841926343</v>
      </c>
      <c r="N51" s="322">
        <f t="shared" si="44"/>
        <v>-2.6795038250543857</v>
      </c>
      <c r="O51" s="322">
        <f t="shared" si="45"/>
        <v>1.4060544063407843</v>
      </c>
      <c r="P51" s="322">
        <f t="shared" si="46"/>
        <v>0.95885265126087749</v>
      </c>
      <c r="Q51" s="322">
        <f t="shared" si="55"/>
        <v>1.107700342974427</v>
      </c>
      <c r="S51" s="322">
        <f t="shared" ref="S51:U51" si="63">IF($F$6-$D$6 &lt;&gt; 0,(EXP(LN(1+(S31/100))/($F$6-$D$6))-1)*100,0)</f>
        <v>1.1077003429744492</v>
      </c>
      <c r="T51" s="322">
        <f t="shared" si="63"/>
        <v>2.6451010018109899</v>
      </c>
      <c r="U51" s="322">
        <f t="shared" si="63"/>
        <v>3.4325093347550073</v>
      </c>
      <c r="W51" t="str">
        <f>$A$13</f>
        <v>Caring, leisure and other service occupations</v>
      </c>
      <c r="X51" s="322">
        <f t="shared" si="47"/>
        <v>0.62273822028313663</v>
      </c>
      <c r="Y51" s="322">
        <f t="shared" si="48"/>
        <v>-4.3670675254864904</v>
      </c>
      <c r="Z51" s="322">
        <f t="shared" si="49"/>
        <v>0.20311663724910112</v>
      </c>
      <c r="AA51" s="322">
        <f t="shared" si="50"/>
        <v>0.64864530705048828</v>
      </c>
      <c r="AB51" s="322">
        <f t="shared" si="57"/>
        <v>0.49991608045885094</v>
      </c>
      <c r="AD51" s="322">
        <f t="shared" ref="AD51:AF51" si="64">IF($F$6-$D$6 &lt;&gt; 0,(EXP(LN(1+(AD31/100))/($F$6-$D$6))-1)*100,0)</f>
        <v>0.49991608045885094</v>
      </c>
      <c r="AE51" s="322">
        <f t="shared" si="64"/>
        <v>3.176719541164319</v>
      </c>
      <c r="AF51" s="322">
        <f t="shared" si="64"/>
        <v>3.5035765005336117</v>
      </c>
    </row>
    <row r="52" spans="1:32">
      <c r="A52" t="str">
        <f>$A$14</f>
        <v>Sales and customer service occupations</v>
      </c>
      <c r="B52" s="322">
        <f t="shared" si="42"/>
        <v>-2.2251102304149506</v>
      </c>
      <c r="C52" s="322">
        <f t="shared" si="42"/>
        <v>-0.61759726767566248</v>
      </c>
      <c r="D52" s="322">
        <f t="shared" si="42"/>
        <v>1.6609776204212778E-2</v>
      </c>
      <c r="E52" s="322">
        <f t="shared" si="42"/>
        <v>-7.4254991029398809E-2</v>
      </c>
      <c r="F52" s="322">
        <f t="shared" si="54"/>
        <v>-4.3975911251237232E-2</v>
      </c>
      <c r="H52" s="322">
        <f t="shared" si="51"/>
        <v>-4.3975911251237232E-2</v>
      </c>
      <c r="I52" s="322">
        <f t="shared" si="51"/>
        <v>2.5209513691513807</v>
      </c>
      <c r="J52" s="322">
        <f t="shared" si="51"/>
        <v>2.4899471502762172</v>
      </c>
      <c r="L52" t="str">
        <f>$A$14</f>
        <v>Sales and customer service occupations</v>
      </c>
      <c r="M52" s="322">
        <f t="shared" si="43"/>
        <v>-2.0866024142827455</v>
      </c>
      <c r="N52" s="322">
        <f t="shared" si="44"/>
        <v>2.7901805585939465</v>
      </c>
      <c r="O52" s="322">
        <f t="shared" si="45"/>
        <v>0.85161131970648007</v>
      </c>
      <c r="P52" s="322">
        <f t="shared" si="46"/>
        <v>0.18916182311925489</v>
      </c>
      <c r="Q52" s="322">
        <f t="shared" si="55"/>
        <v>0.40949342321745519</v>
      </c>
      <c r="S52" s="322">
        <f t="shared" ref="S52:U52" si="65">IF($F$6-$D$6 &lt;&gt; 0,(EXP(LN(1+(S32/100))/($F$6-$D$6))-1)*100,0)</f>
        <v>0.40949342321745519</v>
      </c>
      <c r="T52" s="322">
        <f t="shared" si="65"/>
        <v>2.0005901265111481</v>
      </c>
      <c r="U52" s="322">
        <f t="shared" si="65"/>
        <v>2.3131696599160145</v>
      </c>
      <c r="W52" t="str">
        <f>$A$14</f>
        <v>Sales and customer service occupations</v>
      </c>
      <c r="X52" s="322">
        <f t="shared" si="47"/>
        <v>-2.3211658026281334</v>
      </c>
      <c r="Y52" s="322">
        <f t="shared" si="48"/>
        <v>-2.9951130343367272</v>
      </c>
      <c r="Z52" s="322">
        <f t="shared" si="49"/>
        <v>-0.61911590815699746</v>
      </c>
      <c r="AA52" s="322">
        <f t="shared" si="50"/>
        <v>-0.28839379879279647</v>
      </c>
      <c r="AB52" s="322">
        <f t="shared" si="57"/>
        <v>-0.39875660862359608</v>
      </c>
      <c r="AD52" s="322">
        <f t="shared" ref="AD52:AF52" si="66">IF($F$6-$D$6 &lt;&gt; 0,(EXP(LN(1+(AD32/100))/($F$6-$D$6))-1)*100,0)</f>
        <v>-0.39875660862359608</v>
      </c>
      <c r="AE52" s="322">
        <f t="shared" si="66"/>
        <v>2.8831759162689208</v>
      </c>
      <c r="AF52" s="322">
        <f t="shared" si="66"/>
        <v>2.6179443530073065</v>
      </c>
    </row>
    <row r="53" spans="1:32">
      <c r="A53" t="str">
        <f>$A$15</f>
        <v>Process, plant and machine operatives</v>
      </c>
      <c r="B53" s="322">
        <f t="shared" si="42"/>
        <v>-0.30271188587898124</v>
      </c>
      <c r="C53" s="322">
        <f t="shared" si="42"/>
        <v>-13.342849743023999</v>
      </c>
      <c r="D53" s="322">
        <f t="shared" si="42"/>
        <v>0.66984900938593661</v>
      </c>
      <c r="E53" s="322">
        <f t="shared" si="42"/>
        <v>-0.37249668122506518</v>
      </c>
      <c r="F53" s="322">
        <f t="shared" si="54"/>
        <v>-2.6252842027107981E-2</v>
      </c>
      <c r="H53" s="322">
        <f t="shared" si="51"/>
        <v>-2.6252842027107981E-2</v>
      </c>
      <c r="I53" s="322">
        <f t="shared" si="51"/>
        <v>2.6591047466653306</v>
      </c>
      <c r="J53" s="322">
        <f t="shared" si="51"/>
        <v>2.6409348788108522</v>
      </c>
      <c r="L53" t="str">
        <f>$A$15</f>
        <v>Process, plant and machine operatives</v>
      </c>
      <c r="M53" s="322">
        <f t="shared" si="43"/>
        <v>-0.51136436889708259</v>
      </c>
      <c r="N53" s="322">
        <f t="shared" si="44"/>
        <v>-13.241856827194287</v>
      </c>
      <c r="O53" s="322">
        <f t="shared" si="45"/>
        <v>0.22798810280757476</v>
      </c>
      <c r="P53" s="322">
        <f t="shared" si="46"/>
        <v>-0.48316182002708929</v>
      </c>
      <c r="Q53" s="322">
        <f t="shared" si="55"/>
        <v>-0.24667426978464135</v>
      </c>
      <c r="S53" s="322">
        <f t="shared" ref="S53:U53" si="67">IF($F$6-$D$6 &lt;&gt; 0,(EXP(LN(1+(S33/100))/($F$6-$D$6))-1)*100,0)</f>
        <v>-0.24667426978464135</v>
      </c>
      <c r="T53" s="322">
        <f t="shared" si="67"/>
        <v>2.5520444365153327</v>
      </c>
      <c r="U53" s="322">
        <f t="shared" si="67"/>
        <v>2.3796500803021425</v>
      </c>
      <c r="W53" t="str">
        <f>$A$15</f>
        <v>Process, plant and machine operatives</v>
      </c>
      <c r="X53" s="322">
        <f t="shared" si="47"/>
        <v>1.2057544620176275</v>
      </c>
      <c r="Y53" s="322">
        <f t="shared" si="48"/>
        <v>-14.042504304036086</v>
      </c>
      <c r="Z53" s="322">
        <f t="shared" si="49"/>
        <v>3.5615030619528421</v>
      </c>
      <c r="AA53" s="322">
        <f t="shared" si="50"/>
        <v>0.26271754244275858</v>
      </c>
      <c r="AB53" s="322">
        <f t="shared" si="57"/>
        <v>1.3504690099323424</v>
      </c>
      <c r="AD53" s="322">
        <f t="shared" ref="AD53:AF53" si="68">IF($F$6-$D$6 &lt;&gt; 0,(EXP(LN(1+(AD33/100))/($F$6-$D$6))-1)*100,0)</f>
        <v>1.3504690099323424</v>
      </c>
      <c r="AE53" s="322">
        <f t="shared" si="68"/>
        <v>3.367044509449979</v>
      </c>
      <c r="AF53" s="322">
        <f t="shared" si="68"/>
        <v>4.2472341184073059</v>
      </c>
    </row>
    <row r="54" spans="1:32">
      <c r="A54" t="str">
        <f>$A$16</f>
        <v>Elementary occupations</v>
      </c>
      <c r="B54" s="322">
        <f t="shared" si="42"/>
        <v>-2.4408874684440196</v>
      </c>
      <c r="C54" s="322">
        <f t="shared" si="42"/>
        <v>-10.295011585911062</v>
      </c>
      <c r="D54" s="322">
        <f t="shared" si="42"/>
        <v>0.82781187940927925</v>
      </c>
      <c r="E54" s="322">
        <f t="shared" si="42"/>
        <v>-0.4780116429422443</v>
      </c>
      <c r="F54" s="322">
        <f t="shared" si="54"/>
        <v>-4.462711763347782E-2</v>
      </c>
      <c r="H54" s="322">
        <f t="shared" si="51"/>
        <v>-4.462711763347782E-2</v>
      </c>
      <c r="I54" s="322">
        <f t="shared" si="51"/>
        <v>2.7058098052875845</v>
      </c>
      <c r="J54" s="322">
        <f t="shared" si="51"/>
        <v>2.675132280685788</v>
      </c>
      <c r="L54" t="str">
        <f>$A$16</f>
        <v>Elementary occupations</v>
      </c>
      <c r="M54" s="322">
        <f t="shared" si="43"/>
        <v>-4.0300328156448355</v>
      </c>
      <c r="N54" s="322">
        <f t="shared" si="44"/>
        <v>-6.9986574320434318</v>
      </c>
      <c r="O54" s="322">
        <f t="shared" si="45"/>
        <v>1.4063410360242612</v>
      </c>
      <c r="P54" s="322">
        <f t="shared" si="46"/>
        <v>-0.42219629666480074</v>
      </c>
      <c r="Q54" s="322">
        <f t="shared" si="55"/>
        <v>0.18362294252933786</v>
      </c>
      <c r="S54" s="322">
        <f t="shared" ref="S54:U54" si="69">IF($F$6-$D$6 &lt;&gt; 0,(EXP(LN(1+(S34/100))/($F$6-$D$6))-1)*100,0)</f>
        <v>0.18362294252933786</v>
      </c>
      <c r="T54" s="322">
        <f t="shared" si="69"/>
        <v>2.2817475553625677</v>
      </c>
      <c r="U54" s="322">
        <f t="shared" si="69"/>
        <v>2.4161308233382917</v>
      </c>
      <c r="W54" t="str">
        <f>$A$16</f>
        <v>Elementary occupations</v>
      </c>
      <c r="X54" s="322">
        <f t="shared" si="47"/>
        <v>-0.48148091217095068</v>
      </c>
      <c r="Y54" s="322">
        <f t="shared" si="48"/>
        <v>-14.007007780270598</v>
      </c>
      <c r="Z54" s="322">
        <f t="shared" si="49"/>
        <v>0.10481388822036752</v>
      </c>
      <c r="AA54" s="322">
        <f t="shared" si="50"/>
        <v>-0.55094602037764062</v>
      </c>
      <c r="AB54" s="322">
        <f t="shared" si="57"/>
        <v>-0.33283808004080928</v>
      </c>
      <c r="AD54" s="322">
        <f t="shared" ref="AD54:AF54" si="70">IF($F$6-$D$6 &lt;&gt; 0,(EXP(LN(1+(AD34/100))/($F$6-$D$6))-1)*100,0)</f>
        <v>-0.33283808004080928</v>
      </c>
      <c r="AE54" s="322">
        <f t="shared" si="70"/>
        <v>3.1912065410375057</v>
      </c>
      <c r="AF54" s="322">
        <f t="shared" si="70"/>
        <v>2.9786888260186384</v>
      </c>
    </row>
    <row r="55" spans="1:32">
      <c r="B55" s="322"/>
      <c r="C55" s="322"/>
      <c r="D55" s="322"/>
      <c r="E55" s="322"/>
      <c r="F55" s="322"/>
      <c r="H55" s="322"/>
      <c r="I55" s="322"/>
      <c r="J55" s="322"/>
      <c r="M55" s="322"/>
      <c r="N55" s="322"/>
      <c r="O55" s="322"/>
      <c r="P55" s="322"/>
      <c r="Q55" s="322"/>
      <c r="S55" s="322"/>
      <c r="T55" s="322"/>
      <c r="U55" s="322"/>
      <c r="X55" s="322"/>
      <c r="Y55" s="322"/>
      <c r="Z55" s="322"/>
      <c r="AA55" s="322"/>
      <c r="AB55" s="322"/>
      <c r="AD55" s="322"/>
      <c r="AE55" s="322"/>
      <c r="AF55" s="322"/>
    </row>
    <row r="56" spans="1:32">
      <c r="A56" s="22" t="str">
        <f>$A$18</f>
        <v>All occupations</v>
      </c>
      <c r="B56" s="361">
        <f>IF(C$6-B$6 &lt;&gt; 0,(EXP(LN(C18/B18)/(C$6-B$6))-1)*100,0)</f>
        <v>0.21535006256827582</v>
      </c>
      <c r="C56" s="361">
        <f>IF(D$6-C$6 &lt;&gt; 0,(EXP(LN(D18/C18)/(D$6-C$6))-1)*100,0)</f>
        <v>-2.6938938797602008</v>
      </c>
      <c r="D56" s="361">
        <f>IF(E$6-D$6 &lt;&gt; 0,(EXP(LN(E18/D18)/(E$6-D$6))-1)*100,0)</f>
        <v>0.47645957720003906</v>
      </c>
      <c r="E56" s="361">
        <f>IF(F$6-E$6 &lt;&gt; 0,(EXP(LN(F18/E18)/(F$6-E$6))-1)*100,0)</f>
        <v>0.26862934467042354</v>
      </c>
      <c r="F56" s="361">
        <f t="shared" si="54"/>
        <v>0.33785827979151417</v>
      </c>
      <c r="H56" s="361">
        <f t="shared" si="51"/>
        <v>0.33785827979151417</v>
      </c>
      <c r="I56" s="361">
        <f t="shared" ref="I56" si="71">IF($F$6-$D$6 &lt;&gt; 0,(EXP(LN(1+(I36/100))/($F$6-$D$6))-1)*100,0)</f>
        <v>2.7180424293477223</v>
      </c>
      <c r="J56" s="361">
        <f t="shared" ref="J56" si="72">IF($F$6-$D$6 &lt;&gt; 0,(EXP(LN(1+(J36/100))/($F$6-$D$6))-1)*100,0)</f>
        <v>2.9519500204390647</v>
      </c>
      <c r="L56" s="22" t="str">
        <f>$A$18</f>
        <v>All occupations</v>
      </c>
      <c r="M56" s="361">
        <f>IF(N$6-M$6 &lt;&gt; 0,(EXP(LN(N18/M18)/(N$6-M$6))-1)*100,0)</f>
        <v>-0.23164018272505693</v>
      </c>
      <c r="N56" s="361">
        <f>IF(O$6-N$6 &lt;&gt; 0,(EXP(LN(O18/N18)/(O$6-N$6))-1)*100,0)</f>
        <v>-3.915280958209022</v>
      </c>
      <c r="O56" s="361">
        <f>IF(P$6-O$6 &lt;&gt; 0,(EXP(LN(P18/O18)/(P$6-O$6))-1)*100,0)</f>
        <v>0.35771624244251843</v>
      </c>
      <c r="P56" s="361">
        <f>IF(Q$6-P$6 &lt;&gt; 0,(EXP(LN(Q18/P18)/(Q$6-P$6))-1)*100,0)</f>
        <v>0.13148431124847537</v>
      </c>
      <c r="Q56" s="361">
        <f t="shared" ref="Q56" si="73">IF(Q$6-O$6 &lt;&gt; 0,(EXP(LN(Q18/O18)/(Q$6-O$6))-1)*100,0)</f>
        <v>0.20683823318077277</v>
      </c>
      <c r="S56" s="361">
        <f t="shared" ref="S56:U56" si="74">IF($F$6-$D$6 &lt;&gt; 0,(EXP(LN(1+(S36/100))/($F$6-$D$6))-1)*100,0)</f>
        <v>0.20683823318077277</v>
      </c>
      <c r="T56" s="361">
        <f t="shared" si="74"/>
        <v>2.3106264040359648</v>
      </c>
      <c r="U56" s="361">
        <f t="shared" si="74"/>
        <v>2.4614784854774419</v>
      </c>
      <c r="W56" s="22" t="str">
        <f>$A$18</f>
        <v>All occupations</v>
      </c>
      <c r="X56" s="361">
        <f>IF(Y$6-X$6 &lt;&gt; 0,(EXP(LN(Y18/X18)/(Y$6-X$6))-1)*100,0)</f>
        <v>0.75544374979883422</v>
      </c>
      <c r="Y56" s="361">
        <f>IF(Z$6-Y$6 &lt;&gt; 0,(EXP(LN(Z18/Y18)/(Z$6-Y$6))-1)*100,0)</f>
        <v>-1.2539764954082488</v>
      </c>
      <c r="Z56" s="361">
        <f>IF(AA$6-Z$6 &lt;&gt; 0,(EXP(LN(AA18/Z18)/(AA$6-Z$6))-1)*100,0)</f>
        <v>0.61198791198480151</v>
      </c>
      <c r="AA56" s="361">
        <f>IF(AB$6-AA$6 &lt;&gt; 0,(EXP(LN(AB18/AA18)/(AB$6-AA$6))-1)*100,0)</f>
        <v>0.42196464632742181</v>
      </c>
      <c r="AB56" s="361">
        <f t="shared" ref="AB56" si="75">IF(AB$6-Z$6 &lt;&gt; 0,(EXP(LN(AB18/Z18)/(AB$6-Z$6))-1)*100,0)</f>
        <v>0.4852658244766328</v>
      </c>
      <c r="AD56" s="361">
        <f t="shared" ref="AD56:AF56" si="76">IF($F$6-$D$6 &lt;&gt; 0,(EXP(LN(1+(AD36/100))/($F$6-$D$6))-1)*100,0)</f>
        <v>0.4852658244766328</v>
      </c>
      <c r="AE56" s="361">
        <f t="shared" si="76"/>
        <v>3.1591431690172422</v>
      </c>
      <c r="AF56" s="361">
        <f t="shared" si="76"/>
        <v>3.4770434080301005</v>
      </c>
    </row>
    <row r="57" spans="1:32">
      <c r="B57" s="322"/>
      <c r="C57" s="322"/>
      <c r="D57" s="322"/>
      <c r="E57" s="322"/>
      <c r="F57" s="322"/>
      <c r="M57" s="322"/>
      <c r="N57" s="322"/>
      <c r="O57" s="322"/>
      <c r="P57" s="322"/>
      <c r="Q57" s="322"/>
      <c r="X57" s="322"/>
      <c r="Y57" s="322"/>
      <c r="Z57" s="322"/>
      <c r="AA57" s="322"/>
      <c r="AB57" s="322"/>
    </row>
    <row r="58" spans="1:32">
      <c r="B58" s="322"/>
      <c r="C58" s="322"/>
      <c r="D58" s="322"/>
      <c r="E58" s="322"/>
      <c r="F58" s="322"/>
      <c r="M58" s="322"/>
      <c r="N58" s="322"/>
      <c r="O58" s="322"/>
      <c r="P58" s="322"/>
      <c r="Q58" s="322"/>
      <c r="X58" s="322"/>
      <c r="Y58" s="322"/>
      <c r="Z58" s="322"/>
      <c r="AA58" s="322"/>
      <c r="AB58" s="322"/>
    </row>
    <row r="59" spans="1:32">
      <c r="B59" s="322"/>
      <c r="C59" s="322"/>
      <c r="D59" s="322"/>
      <c r="E59" s="322"/>
      <c r="F59" s="16" t="s">
        <v>112</v>
      </c>
      <c r="M59" s="322"/>
      <c r="N59" s="322"/>
      <c r="O59" s="322"/>
      <c r="P59" s="322"/>
      <c r="Q59" s="16" t="s">
        <v>112</v>
      </c>
      <c r="X59" s="322"/>
      <c r="Y59" s="322"/>
      <c r="Z59" s="322"/>
      <c r="AA59" s="322"/>
      <c r="AB59" s="16" t="s">
        <v>112</v>
      </c>
    </row>
    <row r="60" spans="1:32">
      <c r="A60" s="29"/>
      <c r="B60" s="367"/>
      <c r="C60" s="367"/>
      <c r="D60" s="367"/>
      <c r="E60" s="367"/>
      <c r="F60" s="367"/>
      <c r="L60" s="29"/>
      <c r="M60" s="367"/>
      <c r="N60" s="367"/>
      <c r="O60" s="367"/>
      <c r="P60" s="367"/>
      <c r="Q60" s="367"/>
      <c r="W60" s="29"/>
      <c r="X60" s="367"/>
      <c r="Y60" s="367"/>
      <c r="Z60" s="367"/>
      <c r="AA60" s="367"/>
      <c r="AB60" s="367"/>
    </row>
    <row r="62" spans="1:32">
      <c r="A62" s="32" t="s">
        <v>118</v>
      </c>
      <c r="B62" s="52" t="str">
        <f>CONCATENATE(B$6,"-",C$6)</f>
        <v>2015-2019</v>
      </c>
      <c r="C62" s="52" t="str">
        <f>CONCATENATE(C$6,"-",D$6)</f>
        <v>2019-2020</v>
      </c>
      <c r="D62" s="52" t="str">
        <f>CONCATENATE(D$6,"-",E$6)</f>
        <v>2020-2025</v>
      </c>
      <c r="E62" s="52" t="str">
        <f>CONCATENATE(E$6,"-",F$6)</f>
        <v>2025-2035</v>
      </c>
      <c r="F62" s="52" t="str">
        <f>CONCATENATE(D$6,"-",F$6)</f>
        <v>2020-2035</v>
      </c>
      <c r="L62" s="32" t="s">
        <v>118</v>
      </c>
      <c r="M62" s="52" t="str">
        <f>CONCATENATE(M$6,"-",N$6)</f>
        <v>2015-2019</v>
      </c>
      <c r="N62" s="52" t="str">
        <f>CONCATENATE(N$6,"-",O$6)</f>
        <v>2019-2020</v>
      </c>
      <c r="O62" s="52" t="str">
        <f>CONCATENATE(O$6,"-",P$6)</f>
        <v>2020-2025</v>
      </c>
      <c r="P62" s="52" t="str">
        <f>CONCATENATE(P$6,"-",Q$6)</f>
        <v>2025-2035</v>
      </c>
      <c r="Q62" s="52" t="str">
        <f>CONCATENATE(O$6,"-",Q$6)</f>
        <v>2020-2035</v>
      </c>
      <c r="W62" s="32" t="s">
        <v>118</v>
      </c>
      <c r="X62" s="52" t="str">
        <f>CONCATENATE(X$6,"-",Y$6)</f>
        <v>2015-2019</v>
      </c>
      <c r="Y62" s="52" t="str">
        <f>CONCATENATE(Y$6,"-",Z$6)</f>
        <v>2019-2020</v>
      </c>
      <c r="Z62" s="52" t="str">
        <f>CONCATENATE(Z$6,"-",AA$6)</f>
        <v>2020-2025</v>
      </c>
      <c r="AA62" s="52" t="str">
        <f>CONCATENATE(AA$6,"-",AB$6)</f>
        <v>2025-2035</v>
      </c>
      <c r="AB62" s="52" t="str">
        <f>CONCATENATE(Z$6,"-",AB$6)</f>
        <v>2020-2035</v>
      </c>
    </row>
    <row r="63" spans="1:32">
      <c r="A63" s="1"/>
      <c r="B63" s="19"/>
      <c r="C63" s="19"/>
      <c r="D63" s="19"/>
      <c r="E63" s="19"/>
      <c r="F63" s="19"/>
      <c r="L63" s="1"/>
      <c r="M63" s="19"/>
      <c r="N63" s="19"/>
      <c r="O63" s="19"/>
      <c r="P63" s="19"/>
      <c r="Q63" s="19"/>
      <c r="W63" s="1"/>
      <c r="X63" s="19"/>
      <c r="Y63" s="19"/>
      <c r="Z63" s="19"/>
      <c r="AA63" s="19"/>
      <c r="AB63" s="19"/>
    </row>
    <row r="64" spans="1:32">
      <c r="A64" t="str">
        <f>$A$8</f>
        <v>Managers, directors and senior officials</v>
      </c>
      <c r="B64" s="225">
        <f t="shared" ref="B64:E72" si="77">C8-B8</f>
        <v>3.9524273935769543</v>
      </c>
      <c r="C64" s="225">
        <f t="shared" si="77"/>
        <v>1.4552194827984977</v>
      </c>
      <c r="D64" s="225">
        <f t="shared" si="77"/>
        <v>-2.9635432414324612</v>
      </c>
      <c r="E64" s="225">
        <f t="shared" si="77"/>
        <v>4.3893550355908815</v>
      </c>
      <c r="F64" s="225">
        <f>F8-D8</f>
        <v>1.4258117941584203</v>
      </c>
      <c r="L64" t="str">
        <f>$A$8</f>
        <v>Managers, directors and senior officials</v>
      </c>
      <c r="M64" s="225">
        <f t="shared" ref="M64:M72" si="78">N8-M8</f>
        <v>2.0138790251700733</v>
      </c>
      <c r="N64" s="225">
        <f t="shared" ref="N64:N72" si="79">O8-N8</f>
        <v>-0.11991852795603819</v>
      </c>
      <c r="O64" s="225">
        <f t="shared" ref="O64:O72" si="80">P8-O8</f>
        <v>-2.1943256414810861</v>
      </c>
      <c r="P64" s="225">
        <f t="shared" ref="P64:P72" si="81">Q8-P8</f>
        <v>1.8371185544338218</v>
      </c>
      <c r="Q64" s="225">
        <f>Q8-O8</f>
        <v>-0.35720708704726434</v>
      </c>
      <c r="W64" t="str">
        <f>$A$8</f>
        <v>Managers, directors and senior officials</v>
      </c>
      <c r="X64" s="225">
        <f t="shared" ref="X64:X72" si="82">Y8-X8</f>
        <v>1.938548368406849</v>
      </c>
      <c r="Y64" s="225">
        <f t="shared" ref="Y64:Y72" si="83">Z8-Y8</f>
        <v>1.5751380107545927</v>
      </c>
      <c r="Z64" s="225">
        <f t="shared" ref="Z64:Z72" si="84">AA8-Z8</f>
        <v>-0.76921759995146033</v>
      </c>
      <c r="AA64" s="225">
        <f t="shared" ref="AA64:AA72" si="85">AB8-AA8</f>
        <v>2.5522364811570881</v>
      </c>
      <c r="AB64" s="225">
        <f>AB8-Z8</f>
        <v>1.7830188812056278</v>
      </c>
    </row>
    <row r="65" spans="1:31">
      <c r="A65" t="str">
        <f>$A$9</f>
        <v>Professional occupations</v>
      </c>
      <c r="B65" s="225">
        <f t="shared" si="77"/>
        <v>11.346268904764429</v>
      </c>
      <c r="C65" s="225">
        <f t="shared" si="77"/>
        <v>4.4836566901636417</v>
      </c>
      <c r="D65" s="225">
        <f t="shared" si="77"/>
        <v>6.4185548142397266</v>
      </c>
      <c r="E65" s="225">
        <f t="shared" si="77"/>
        <v>11.77682944462245</v>
      </c>
      <c r="F65" s="225">
        <f t="shared" ref="F65:F72" si="86">F9-D9</f>
        <v>18.195384258862177</v>
      </c>
      <c r="L65" t="str">
        <f>$A$9</f>
        <v>Professional occupations</v>
      </c>
      <c r="M65" s="225">
        <f t="shared" si="78"/>
        <v>3.92616028507409</v>
      </c>
      <c r="N65" s="225">
        <f t="shared" si="79"/>
        <v>2.5789245769552451</v>
      </c>
      <c r="O65" s="225">
        <f t="shared" si="80"/>
        <v>4.8621581829562217</v>
      </c>
      <c r="P65" s="225">
        <f t="shared" si="81"/>
        <v>4.8641399191738515</v>
      </c>
      <c r="Q65" s="225">
        <f t="shared" ref="Q65:Q72" si="87">Q9-O9</f>
        <v>9.7262981021300732</v>
      </c>
      <c r="W65" t="str">
        <f>$A$9</f>
        <v>Professional occupations</v>
      </c>
      <c r="X65" s="225">
        <f t="shared" si="82"/>
        <v>7.4201086196904669</v>
      </c>
      <c r="Y65" s="225">
        <f t="shared" si="83"/>
        <v>1.9047321132083965</v>
      </c>
      <c r="Z65" s="225">
        <f t="shared" si="84"/>
        <v>1.5563966312833202</v>
      </c>
      <c r="AA65" s="225">
        <f t="shared" si="85"/>
        <v>6.9126895254487479</v>
      </c>
      <c r="AB65" s="225">
        <f t="shared" ref="AB65:AB72" si="88">AB9-Z9</f>
        <v>8.4690861567320681</v>
      </c>
    </row>
    <row r="66" spans="1:31">
      <c r="A66" t="str">
        <f>$A$10</f>
        <v>Associate professional occupations</v>
      </c>
      <c r="B66" s="225">
        <f t="shared" si="77"/>
        <v>2.5889966680571703</v>
      </c>
      <c r="C66" s="225">
        <f t="shared" si="77"/>
        <v>2.0992199787569845</v>
      </c>
      <c r="D66" s="225">
        <f t="shared" si="77"/>
        <v>4.3434487569152509</v>
      </c>
      <c r="E66" s="225">
        <f t="shared" si="77"/>
        <v>6.3508938848332406</v>
      </c>
      <c r="F66" s="225">
        <f t="shared" si="86"/>
        <v>10.694342641748491</v>
      </c>
      <c r="L66" t="str">
        <f>$A$10</f>
        <v>Associate professional occupations</v>
      </c>
      <c r="M66" s="225">
        <f t="shared" si="78"/>
        <v>0.19246555130100873</v>
      </c>
      <c r="N66" s="225">
        <f t="shared" si="79"/>
        <v>1.2034091604166797</v>
      </c>
      <c r="O66" s="225">
        <f t="shared" si="80"/>
        <v>-1.2326091527440539</v>
      </c>
      <c r="P66" s="225">
        <f t="shared" si="81"/>
        <v>0.84744146375471274</v>
      </c>
      <c r="Q66" s="225">
        <f t="shared" si="87"/>
        <v>-0.38516768898934117</v>
      </c>
      <c r="W66" t="str">
        <f>$A$10</f>
        <v>Associate professional occupations</v>
      </c>
      <c r="X66" s="225">
        <f t="shared" si="82"/>
        <v>2.3965311167561723</v>
      </c>
      <c r="Y66" s="225">
        <f t="shared" si="83"/>
        <v>0.8958108183403013</v>
      </c>
      <c r="Z66" s="225">
        <f t="shared" si="84"/>
        <v>5.5760579096593403</v>
      </c>
      <c r="AA66" s="225">
        <f t="shared" si="85"/>
        <v>5.5034524210785065</v>
      </c>
      <c r="AB66" s="225">
        <f t="shared" si="88"/>
        <v>11.079510330737847</v>
      </c>
    </row>
    <row r="67" spans="1:31">
      <c r="A67" t="str">
        <f>$A$11</f>
        <v>Administrative and secretarial occupations</v>
      </c>
      <c r="B67" s="225">
        <f t="shared" si="77"/>
        <v>-5.4779378206172993</v>
      </c>
      <c r="C67" s="225">
        <f t="shared" si="77"/>
        <v>1.8183853679680908</v>
      </c>
      <c r="D67" s="225">
        <f t="shared" si="77"/>
        <v>1.0242946475112191</v>
      </c>
      <c r="E67" s="225">
        <f t="shared" si="77"/>
        <v>-3.9754240347085599</v>
      </c>
      <c r="F67" s="225">
        <f t="shared" si="86"/>
        <v>-2.9511293871973407</v>
      </c>
      <c r="L67" t="str">
        <f>$A$11</f>
        <v>Administrative and secretarial occupations</v>
      </c>
      <c r="M67" s="225">
        <f t="shared" si="78"/>
        <v>-2.296844637719758</v>
      </c>
      <c r="N67" s="225">
        <f t="shared" si="79"/>
        <v>2.645738270694995</v>
      </c>
      <c r="O67" s="225">
        <f t="shared" si="80"/>
        <v>1.2371074902840782</v>
      </c>
      <c r="P67" s="225">
        <f t="shared" si="81"/>
        <v>2.1893611411564677</v>
      </c>
      <c r="Q67" s="225">
        <f t="shared" si="87"/>
        <v>3.4264686314405459</v>
      </c>
      <c r="W67" t="str">
        <f>$A$11</f>
        <v>Administrative and secretarial occupations</v>
      </c>
      <c r="X67" s="225">
        <f t="shared" si="82"/>
        <v>-3.181093182897655</v>
      </c>
      <c r="Y67" s="225">
        <f t="shared" si="83"/>
        <v>-0.82735290272692197</v>
      </c>
      <c r="Z67" s="225">
        <f t="shared" si="84"/>
        <v>-0.21281284277280577</v>
      </c>
      <c r="AA67" s="225">
        <f t="shared" si="85"/>
        <v>-6.1647851758650916</v>
      </c>
      <c r="AB67" s="225">
        <f t="shared" si="88"/>
        <v>-6.3775980186378973</v>
      </c>
    </row>
    <row r="68" spans="1:31">
      <c r="A68" t="str">
        <f>$A$12</f>
        <v>Skilled trades occupations</v>
      </c>
      <c r="B68" s="225">
        <f t="shared" si="77"/>
        <v>0.63716290273828236</v>
      </c>
      <c r="C68" s="225">
        <f t="shared" si="77"/>
        <v>-9.7030435986156789</v>
      </c>
      <c r="D68" s="225">
        <f t="shared" si="77"/>
        <v>-1.1987673019664342</v>
      </c>
      <c r="E68" s="225">
        <f t="shared" si="77"/>
        <v>-4.2711560693329815</v>
      </c>
      <c r="F68" s="225">
        <f t="shared" si="86"/>
        <v>-5.4699233712994157</v>
      </c>
      <c r="L68" t="str">
        <f>$A$12</f>
        <v>Skilled trades occupations</v>
      </c>
      <c r="M68" s="225">
        <f t="shared" si="78"/>
        <v>0.85316555516027393</v>
      </c>
      <c r="N68" s="225">
        <f t="shared" si="79"/>
        <v>-10.060172409339515</v>
      </c>
      <c r="O68" s="225">
        <f t="shared" si="80"/>
        <v>-1.3949739034190856</v>
      </c>
      <c r="P68" s="225">
        <f t="shared" si="81"/>
        <v>-4.4729220110884071</v>
      </c>
      <c r="Q68" s="225">
        <f t="shared" si="87"/>
        <v>-5.8678959145074927</v>
      </c>
      <c r="W68" t="str">
        <f>$A$12</f>
        <v>Skilled trades occupations</v>
      </c>
      <c r="X68" s="225">
        <f t="shared" si="82"/>
        <v>-0.21600265242193384</v>
      </c>
      <c r="Y68" s="225">
        <f t="shared" si="83"/>
        <v>0.3571288107237951</v>
      </c>
      <c r="Z68" s="225">
        <f t="shared" si="84"/>
        <v>0.19620660145262647</v>
      </c>
      <c r="AA68" s="225">
        <f t="shared" si="85"/>
        <v>0.20176594175546203</v>
      </c>
      <c r="AB68" s="225">
        <f t="shared" si="88"/>
        <v>0.3979725432080885</v>
      </c>
    </row>
    <row r="69" spans="1:31">
      <c r="A69" t="str">
        <f>$A$13</f>
        <v>Caring, leisure and other service occupations</v>
      </c>
      <c r="B69" s="225">
        <f t="shared" si="77"/>
        <v>0.97951788275135243</v>
      </c>
      <c r="C69" s="225">
        <f t="shared" si="77"/>
        <v>-2.1197540853035477</v>
      </c>
      <c r="D69" s="225">
        <f t="shared" si="77"/>
        <v>0.95957667129025026</v>
      </c>
      <c r="E69" s="225">
        <f t="shared" si="77"/>
        <v>3.6221582333224873</v>
      </c>
      <c r="F69" s="225">
        <f t="shared" si="86"/>
        <v>4.5817349046127376</v>
      </c>
      <c r="L69" t="str">
        <f>$A$13</f>
        <v>Caring, leisure and other service occupations</v>
      </c>
      <c r="M69" s="225">
        <f t="shared" si="78"/>
        <v>-9.7344312518434783E-2</v>
      </c>
      <c r="N69" s="225">
        <f t="shared" si="79"/>
        <v>-0.20234671188889308</v>
      </c>
      <c r="O69" s="225">
        <f t="shared" si="80"/>
        <v>0.53141113365332249</v>
      </c>
      <c r="P69" s="225">
        <f t="shared" si="81"/>
        <v>0.78909690765501761</v>
      </c>
      <c r="Q69" s="225">
        <f t="shared" si="87"/>
        <v>1.3205080413083401</v>
      </c>
      <c r="W69" t="str">
        <f>$A$13</f>
        <v>Caring, leisure and other service occupations</v>
      </c>
      <c r="X69" s="225">
        <f t="shared" si="82"/>
        <v>1.0768621952698112</v>
      </c>
      <c r="Y69" s="225">
        <f t="shared" si="83"/>
        <v>-1.917407373414683</v>
      </c>
      <c r="Z69" s="225">
        <f t="shared" si="84"/>
        <v>0.42816553763694998</v>
      </c>
      <c r="AA69" s="225">
        <f t="shared" si="85"/>
        <v>2.8330613256674653</v>
      </c>
      <c r="AB69" s="225">
        <f t="shared" si="88"/>
        <v>3.2612268633044152</v>
      </c>
    </row>
    <row r="70" spans="1:31">
      <c r="A70" t="str">
        <f>$A$14</f>
        <v>Sales and customer service occupations</v>
      </c>
      <c r="B70" s="225">
        <f t="shared" si="77"/>
        <v>-3.7282336102032616</v>
      </c>
      <c r="C70" s="225">
        <f t="shared" si="77"/>
        <v>-0.24447129109383781</v>
      </c>
      <c r="D70" s="225">
        <f t="shared" si="77"/>
        <v>3.2682107066428046E-2</v>
      </c>
      <c r="E70" s="225">
        <f t="shared" si="77"/>
        <v>-0.29138524380997666</v>
      </c>
      <c r="F70" s="225">
        <f t="shared" si="86"/>
        <v>-0.25870313674354861</v>
      </c>
      <c r="L70" t="str">
        <f>$A$14</f>
        <v>Sales and customer service occupations</v>
      </c>
      <c r="M70" s="225">
        <f t="shared" si="78"/>
        <v>-1.4316458000776535</v>
      </c>
      <c r="N70" s="225">
        <f t="shared" si="79"/>
        <v>0.45389229517211049</v>
      </c>
      <c r="O70" s="225">
        <f t="shared" si="80"/>
        <v>0.72423660925558409</v>
      </c>
      <c r="P70" s="225">
        <f t="shared" si="81"/>
        <v>0.33282778319905404</v>
      </c>
      <c r="Q70" s="225">
        <f t="shared" si="87"/>
        <v>1.0570643924546381</v>
      </c>
      <c r="W70" t="str">
        <f>$A$14</f>
        <v>Sales and customer service occupations</v>
      </c>
      <c r="X70" s="225">
        <f t="shared" si="82"/>
        <v>-2.2965878101256472</v>
      </c>
      <c r="Y70" s="225">
        <f t="shared" si="83"/>
        <v>-0.69836358626595185</v>
      </c>
      <c r="Z70" s="225">
        <f t="shared" si="84"/>
        <v>-0.69155450218920933</v>
      </c>
      <c r="AA70" s="225">
        <f t="shared" si="85"/>
        <v>-0.62421302700895254</v>
      </c>
      <c r="AB70" s="225">
        <f t="shared" si="88"/>
        <v>-1.3157675291981619</v>
      </c>
    </row>
    <row r="71" spans="1:31">
      <c r="A71" t="str">
        <f>$A$15</f>
        <v>Process, plant and machine operatives</v>
      </c>
      <c r="B71" s="225">
        <f t="shared" si="77"/>
        <v>-0.56821521408122067</v>
      </c>
      <c r="C71" s="225">
        <f t="shared" si="77"/>
        <v>-6.214094539697868</v>
      </c>
      <c r="D71" s="225">
        <f t="shared" si="77"/>
        <v>1.3699312698277311</v>
      </c>
      <c r="E71" s="225">
        <f t="shared" si="77"/>
        <v>-1.5285678432163934</v>
      </c>
      <c r="F71" s="225">
        <f t="shared" si="86"/>
        <v>-0.15863657338866233</v>
      </c>
      <c r="L71" t="str">
        <f>$A$15</f>
        <v>Process, plant and machine operatives</v>
      </c>
      <c r="M71" s="225">
        <f t="shared" si="78"/>
        <v>-0.84320950374981862</v>
      </c>
      <c r="N71" s="225">
        <f t="shared" si="79"/>
        <v>-5.3891525718447468</v>
      </c>
      <c r="O71" s="225">
        <f t="shared" si="80"/>
        <v>0.40433776521528841</v>
      </c>
      <c r="P71" s="225">
        <f t="shared" si="81"/>
        <v>-1.6884806844587104</v>
      </c>
      <c r="Q71" s="225">
        <f t="shared" si="87"/>
        <v>-1.2841429192434219</v>
      </c>
      <c r="W71" t="str">
        <f>$A$15</f>
        <v>Process, plant and machine operatives</v>
      </c>
      <c r="X71" s="225">
        <f t="shared" si="82"/>
        <v>0.27499428966864325</v>
      </c>
      <c r="Y71" s="225">
        <f t="shared" si="83"/>
        <v>-0.82494196785315754</v>
      </c>
      <c r="Z71" s="225">
        <f t="shared" si="84"/>
        <v>0.96559350461243554</v>
      </c>
      <c r="AA71" s="225">
        <f t="shared" si="85"/>
        <v>0.15991284124228677</v>
      </c>
      <c r="AB71" s="225">
        <f t="shared" si="88"/>
        <v>1.1255063458547223</v>
      </c>
    </row>
    <row r="72" spans="1:31">
      <c r="A72" t="str">
        <f>$A$16</f>
        <v>Elementary occupations</v>
      </c>
      <c r="B72" s="225">
        <f t="shared" si="77"/>
        <v>-5.360987106986812</v>
      </c>
      <c r="C72" s="225">
        <f t="shared" si="77"/>
        <v>-5.3121180049762557</v>
      </c>
      <c r="D72" s="225">
        <f t="shared" si="77"/>
        <v>1.9478222765486777</v>
      </c>
      <c r="E72" s="225">
        <f t="shared" si="77"/>
        <v>-2.2567034073016927</v>
      </c>
      <c r="F72" s="225">
        <f t="shared" si="86"/>
        <v>-0.30888113075301504</v>
      </c>
      <c r="L72" t="str">
        <f>$A$16</f>
        <v>Elementary occupations</v>
      </c>
      <c r="M72" s="225">
        <f t="shared" si="78"/>
        <v>-4.8878962418043557</v>
      </c>
      <c r="N72" s="225">
        <f t="shared" si="79"/>
        <v>-1.9127020740797427</v>
      </c>
      <c r="O72" s="225">
        <f t="shared" si="80"/>
        <v>1.8382195811835622</v>
      </c>
      <c r="P72" s="225">
        <f t="shared" si="81"/>
        <v>-1.1290815367373952</v>
      </c>
      <c r="Q72" s="225">
        <f t="shared" si="87"/>
        <v>0.70913804444616702</v>
      </c>
      <c r="W72" t="str">
        <f>$A$16</f>
        <v>Elementary occupations</v>
      </c>
      <c r="X72" s="225">
        <f t="shared" si="82"/>
        <v>-0.47309086518242438</v>
      </c>
      <c r="Y72" s="225">
        <f t="shared" si="83"/>
        <v>-3.3994159308964669</v>
      </c>
      <c r="Z72" s="225">
        <f t="shared" si="84"/>
        <v>0.1096026953650977</v>
      </c>
      <c r="AA72" s="225">
        <f t="shared" si="85"/>
        <v>-1.1276218705643117</v>
      </c>
      <c r="AB72" s="225">
        <f t="shared" si="88"/>
        <v>-1.018019175199214</v>
      </c>
    </row>
    <row r="73" spans="1:31">
      <c r="B73" s="225"/>
      <c r="C73" s="225"/>
      <c r="D73" s="225"/>
      <c r="E73" s="225"/>
      <c r="F73" s="225"/>
      <c r="M73" s="225"/>
      <c r="N73" s="225"/>
      <c r="O73" s="225"/>
      <c r="P73" s="225"/>
      <c r="Q73" s="225"/>
      <c r="X73" s="225"/>
      <c r="Y73" s="225"/>
      <c r="Z73" s="225"/>
      <c r="AA73" s="225"/>
      <c r="AB73" s="225"/>
    </row>
    <row r="74" spans="1:31">
      <c r="A74" s="22" t="str">
        <f>$A$18</f>
        <v>All occupations</v>
      </c>
      <c r="B74" s="362">
        <f>C18-B18</f>
        <v>4.3689999999995166</v>
      </c>
      <c r="C74" s="362">
        <f t="shared" ref="C74" si="89">D18-C18</f>
        <v>-13.736999999999966</v>
      </c>
      <c r="D74" s="362">
        <f>E18-D18</f>
        <v>11.934000000000424</v>
      </c>
      <c r="E74" s="362">
        <f>F18-E18</f>
        <v>13.815999999999406</v>
      </c>
      <c r="F74" s="362">
        <f>F18-D18</f>
        <v>25.749999999999829</v>
      </c>
      <c r="L74" s="22" t="str">
        <f>$A$18</f>
        <v>All occupations</v>
      </c>
      <c r="M74" s="362">
        <f>N18-M18</f>
        <v>-2.5712700791646057</v>
      </c>
      <c r="N74" s="362">
        <f t="shared" ref="N74" si="90">O18-N18</f>
        <v>-10.802327991869845</v>
      </c>
      <c r="O74" s="362">
        <f>P18-O18</f>
        <v>4.7755620649037951</v>
      </c>
      <c r="P74" s="362">
        <f>Q18-P18</f>
        <v>3.5695015370884562</v>
      </c>
      <c r="Q74" s="362">
        <f>Q18-O18</f>
        <v>8.3450636019922513</v>
      </c>
      <c r="W74" s="22" t="str">
        <f>$A$18</f>
        <v>All occupations</v>
      </c>
      <c r="X74" s="362">
        <f>Y18-X18</f>
        <v>6.940270079164236</v>
      </c>
      <c r="Y74" s="362">
        <f t="shared" ref="Y74" si="91">Z18-Y18</f>
        <v>-2.934672008130093</v>
      </c>
      <c r="Z74" s="362">
        <f>AA18-Z18</f>
        <v>7.1584379350963445</v>
      </c>
      <c r="AA74" s="362">
        <f>AB18-AA18</f>
        <v>10.246498462911177</v>
      </c>
      <c r="AB74" s="362">
        <f>AB18-Z18</f>
        <v>17.404936398007521</v>
      </c>
    </row>
    <row r="78" spans="1:31">
      <c r="D78" s="1" t="s">
        <v>113</v>
      </c>
      <c r="H78" s="32" t="s">
        <v>114</v>
      </c>
      <c r="O78" s="1" t="s">
        <v>113</v>
      </c>
      <c r="S78" s="32" t="s">
        <v>114</v>
      </c>
      <c r="Z78" s="1" t="s">
        <v>113</v>
      </c>
      <c r="AD78" s="32" t="s">
        <v>114</v>
      </c>
    </row>
    <row r="79" spans="1:31">
      <c r="A79" s="20"/>
      <c r="B79" s="21">
        <f>B6</f>
        <v>2015</v>
      </c>
      <c r="C79" s="21">
        <f>C6</f>
        <v>2019</v>
      </c>
      <c r="D79" s="21">
        <f>D6</f>
        <v>2020</v>
      </c>
      <c r="E79" s="21">
        <f>E6</f>
        <v>2025</v>
      </c>
      <c r="F79" s="21">
        <f>F6</f>
        <v>2035</v>
      </c>
      <c r="H79" s="60" t="str">
        <f>CONCATENATE(B$6,"-",D$6)</f>
        <v>2015-2020</v>
      </c>
      <c r="I79" s="60" t="str">
        <f>F44</f>
        <v>2020-2035</v>
      </c>
      <c r="L79" s="20"/>
      <c r="M79" s="21">
        <f>M6</f>
        <v>2015</v>
      </c>
      <c r="N79" s="21">
        <f>N6</f>
        <v>2019</v>
      </c>
      <c r="O79" s="21">
        <f>O6</f>
        <v>2020</v>
      </c>
      <c r="P79" s="21">
        <f>P6</f>
        <v>2025</v>
      </c>
      <c r="Q79" s="21">
        <f>Q6</f>
        <v>2035</v>
      </c>
      <c r="S79" s="60" t="str">
        <f>CONCATENATE(M$6,"-",O$6)</f>
        <v>2015-2020</v>
      </c>
      <c r="T79" s="60" t="str">
        <f>Q44</f>
        <v>2020-2035</v>
      </c>
      <c r="W79" s="20"/>
      <c r="X79" s="21">
        <f>X6</f>
        <v>2015</v>
      </c>
      <c r="Y79" s="21">
        <f>Y6</f>
        <v>2019</v>
      </c>
      <c r="Z79" s="21">
        <f>Z6</f>
        <v>2020</v>
      </c>
      <c r="AA79" s="21">
        <f>AA6</f>
        <v>2025</v>
      </c>
      <c r="AB79" s="21">
        <f>AB6</f>
        <v>2035</v>
      </c>
      <c r="AD79" s="60" t="str">
        <f>CONCATENATE(X$6,"-",Z$6)</f>
        <v>2015-2020</v>
      </c>
      <c r="AE79" s="60" t="str">
        <f>AB44</f>
        <v>2020-2035</v>
      </c>
    </row>
    <row r="80" spans="1:31">
      <c r="A80" t="str">
        <f t="shared" ref="A80:F88" si="92">A8</f>
        <v>Managers, directors and senior officials</v>
      </c>
      <c r="B80" s="11">
        <f t="shared" si="92"/>
        <v>42.392720616000332</v>
      </c>
      <c r="C80" s="11">
        <f t="shared" si="92"/>
        <v>46.345148009577287</v>
      </c>
      <c r="D80" s="11">
        <f t="shared" si="92"/>
        <v>47.800367492375784</v>
      </c>
      <c r="E80" s="11">
        <f t="shared" si="92"/>
        <v>44.836824250943323</v>
      </c>
      <c r="F80" s="11">
        <f t="shared" si="92"/>
        <v>49.226179286534204</v>
      </c>
      <c r="H80" s="31">
        <f>IF(D$6-B$6 &lt;&gt; 0,(EXP(LN(D8/B8)/(D$6-B$6))-1)*100,0)</f>
        <v>2.4301925967987525</v>
      </c>
      <c r="I80" s="31">
        <f t="shared" ref="I80:I88" si="93">F46</f>
        <v>0.1961404623199936</v>
      </c>
      <c r="L80" t="str">
        <f t="shared" ref="L80:Q88" si="94">L8</f>
        <v>Managers, directors and senior officials</v>
      </c>
      <c r="M80" s="11">
        <f t="shared" si="94"/>
        <v>29.03422481858917</v>
      </c>
      <c r="N80" s="11">
        <f t="shared" si="94"/>
        <v>31.048103843759243</v>
      </c>
      <c r="O80" s="11">
        <f t="shared" si="94"/>
        <v>30.928185315803205</v>
      </c>
      <c r="P80" s="11">
        <f t="shared" si="94"/>
        <v>28.733859674322119</v>
      </c>
      <c r="Q80" s="11">
        <f t="shared" si="94"/>
        <v>30.570978228755941</v>
      </c>
      <c r="S80" s="31">
        <f t="shared" ref="S80:S88" si="95">IF(O$6-M$6 &lt;&gt; 0,(EXP(LN(O8/M8)/(O$6-M$6))-1)*100,0)</f>
        <v>1.271872645789629</v>
      </c>
      <c r="T80" s="31">
        <f t="shared" ref="T80:T88" si="96">Q46</f>
        <v>-7.7415214087228623E-2</v>
      </c>
      <c r="W80" t="str">
        <f t="shared" ref="W80:AB88" si="97">W8</f>
        <v>Managers, directors and senior officials</v>
      </c>
      <c r="X80" s="11">
        <f t="shared" si="97"/>
        <v>13.35849579741118</v>
      </c>
      <c r="Y80" s="11">
        <f t="shared" si="97"/>
        <v>15.297044165818029</v>
      </c>
      <c r="Z80" s="11">
        <f t="shared" si="97"/>
        <v>16.872182176572622</v>
      </c>
      <c r="AA80" s="11">
        <f t="shared" si="97"/>
        <v>16.102964576621162</v>
      </c>
      <c r="AB80" s="11">
        <f t="shared" si="97"/>
        <v>18.65520105777825</v>
      </c>
      <c r="AD80" s="31">
        <f t="shared" ref="AD80:AD88" si="98">IF(Z$6-X$6 &lt;&gt; 0,(EXP(LN(Z8/X8)/(Z$6-X$6))-1)*100,0)</f>
        <v>4.7810484123603114</v>
      </c>
      <c r="AE80" s="31">
        <f t="shared" ref="AE80:AE88" si="99">AB46</f>
        <v>0.67197262997948926</v>
      </c>
    </row>
    <row r="81" spans="1:31">
      <c r="A81" t="str">
        <f t="shared" si="92"/>
        <v>Professional occupations</v>
      </c>
      <c r="B81" s="11">
        <f t="shared" si="92"/>
        <v>87.713907644760383</v>
      </c>
      <c r="C81" s="11">
        <f t="shared" si="92"/>
        <v>99.060176549524812</v>
      </c>
      <c r="D81" s="11">
        <f t="shared" si="92"/>
        <v>103.54383323968845</v>
      </c>
      <c r="E81" s="11">
        <f t="shared" si="92"/>
        <v>109.96238805392818</v>
      </c>
      <c r="F81" s="11">
        <f t="shared" si="92"/>
        <v>121.73921749855063</v>
      </c>
      <c r="H81" s="31">
        <f t="shared" ref="H81:H88" si="100">IF(D$6-B$6 &lt;&gt; 0,(EXP(LN(D9/B9)/(D$6-B$6))-1)*100,0)</f>
        <v>3.3739606107497266</v>
      </c>
      <c r="I81" s="31">
        <f t="shared" si="93"/>
        <v>1.0850858994736923</v>
      </c>
      <c r="L81" t="str">
        <f t="shared" si="94"/>
        <v>Professional occupations</v>
      </c>
      <c r="M81" s="11">
        <f t="shared" si="94"/>
        <v>45.534461167396955</v>
      </c>
      <c r="N81" s="11">
        <f t="shared" si="94"/>
        <v>49.460621452471045</v>
      </c>
      <c r="O81" s="11">
        <f t="shared" si="94"/>
        <v>52.03954602942629</v>
      </c>
      <c r="P81" s="11">
        <f t="shared" si="94"/>
        <v>56.901704212382512</v>
      </c>
      <c r="Q81" s="11">
        <f t="shared" si="94"/>
        <v>61.765844131556364</v>
      </c>
      <c r="S81" s="31">
        <f t="shared" si="95"/>
        <v>2.7066725906416123</v>
      </c>
      <c r="T81" s="31">
        <f t="shared" si="96"/>
        <v>1.1488599327983184</v>
      </c>
      <c r="W81" t="str">
        <f t="shared" si="97"/>
        <v>Professional occupations</v>
      </c>
      <c r="X81" s="11">
        <f t="shared" si="97"/>
        <v>42.179446477363356</v>
      </c>
      <c r="Y81" s="11">
        <f t="shared" si="97"/>
        <v>49.599555097053823</v>
      </c>
      <c r="Z81" s="11">
        <f t="shared" si="97"/>
        <v>51.50428721026222</v>
      </c>
      <c r="AA81" s="11">
        <f t="shared" si="97"/>
        <v>53.06068384154554</v>
      </c>
      <c r="AB81" s="11">
        <f t="shared" si="97"/>
        <v>59.973373366994288</v>
      </c>
      <c r="AD81" s="31">
        <f t="shared" si="98"/>
        <v>4.0754988003308901</v>
      </c>
      <c r="AE81" s="31">
        <f t="shared" si="99"/>
        <v>1.0200718570586798</v>
      </c>
    </row>
    <row r="82" spans="1:31">
      <c r="A82" t="str">
        <f t="shared" si="92"/>
        <v>Associate professional occupations</v>
      </c>
      <c r="B82" s="11">
        <f t="shared" si="92"/>
        <v>56.127385363836439</v>
      </c>
      <c r="C82" s="11">
        <f t="shared" si="92"/>
        <v>58.716382031893609</v>
      </c>
      <c r="D82" s="11">
        <f t="shared" si="92"/>
        <v>60.815602010650593</v>
      </c>
      <c r="E82" s="11">
        <f t="shared" si="92"/>
        <v>65.159050767565844</v>
      </c>
      <c r="F82" s="11">
        <f t="shared" si="92"/>
        <v>71.509944652399085</v>
      </c>
      <c r="H82" s="31">
        <f t="shared" si="100"/>
        <v>1.6173908609099286</v>
      </c>
      <c r="I82" s="31">
        <f t="shared" si="93"/>
        <v>1.0857867262725973</v>
      </c>
      <c r="L82" t="str">
        <f t="shared" si="94"/>
        <v>Associate professional occupations</v>
      </c>
      <c r="M82" s="11">
        <f t="shared" si="94"/>
        <v>31.445207367233628</v>
      </c>
      <c r="N82" s="11">
        <f t="shared" si="94"/>
        <v>31.637672918534637</v>
      </c>
      <c r="O82" s="11">
        <f t="shared" si="94"/>
        <v>32.841082078951317</v>
      </c>
      <c r="P82" s="11">
        <f t="shared" si="94"/>
        <v>31.608472926207263</v>
      </c>
      <c r="Q82" s="11">
        <f t="shared" si="94"/>
        <v>32.455914389961976</v>
      </c>
      <c r="S82" s="31">
        <f t="shared" si="95"/>
        <v>0.8724569427479123</v>
      </c>
      <c r="T82" s="31">
        <f t="shared" si="96"/>
        <v>-7.8619384725797659E-2</v>
      </c>
      <c r="W82" t="str">
        <f t="shared" si="97"/>
        <v>Associate professional occupations</v>
      </c>
      <c r="X82" s="11">
        <f t="shared" si="97"/>
        <v>24.682177996602789</v>
      </c>
      <c r="Y82" s="11">
        <f t="shared" si="97"/>
        <v>27.078709113358961</v>
      </c>
      <c r="Z82" s="11">
        <f t="shared" si="97"/>
        <v>27.974519931699263</v>
      </c>
      <c r="AA82" s="11">
        <f t="shared" si="97"/>
        <v>33.550577841358603</v>
      </c>
      <c r="AB82" s="11">
        <f t="shared" si="97"/>
        <v>39.054030262437109</v>
      </c>
      <c r="AD82" s="31">
        <f t="shared" si="98"/>
        <v>2.5358727864230435</v>
      </c>
      <c r="AE82" s="31">
        <f t="shared" si="99"/>
        <v>2.2492696052989647</v>
      </c>
    </row>
    <row r="83" spans="1:31">
      <c r="A83" t="str">
        <f t="shared" si="92"/>
        <v>Administrative and secretarial occupations</v>
      </c>
      <c r="B83" s="11">
        <f t="shared" si="92"/>
        <v>60.137952735863799</v>
      </c>
      <c r="C83" s="11">
        <f t="shared" si="92"/>
        <v>54.660014915246499</v>
      </c>
      <c r="D83" s="11">
        <f t="shared" si="92"/>
        <v>56.47840028321459</v>
      </c>
      <c r="E83" s="11">
        <f t="shared" si="92"/>
        <v>57.502694930725809</v>
      </c>
      <c r="F83" s="11">
        <f t="shared" si="92"/>
        <v>53.527270896017249</v>
      </c>
      <c r="H83" s="31">
        <f t="shared" si="100"/>
        <v>-1.2478068393020125</v>
      </c>
      <c r="I83" s="31">
        <f t="shared" si="93"/>
        <v>-0.35714078831445839</v>
      </c>
      <c r="L83" t="str">
        <f t="shared" si="94"/>
        <v>Administrative and secretarial occupations</v>
      </c>
      <c r="M83" s="11">
        <f t="shared" si="94"/>
        <v>16.59794853010651</v>
      </c>
      <c r="N83" s="11">
        <f t="shared" si="94"/>
        <v>14.301103892386752</v>
      </c>
      <c r="O83" s="11">
        <f t="shared" si="94"/>
        <v>16.946842163081747</v>
      </c>
      <c r="P83" s="11">
        <f t="shared" si="94"/>
        <v>18.183949653365826</v>
      </c>
      <c r="Q83" s="11">
        <f t="shared" si="94"/>
        <v>20.373310794522293</v>
      </c>
      <c r="S83" s="31">
        <f t="shared" si="95"/>
        <v>0.41691484599586381</v>
      </c>
      <c r="T83" s="31">
        <f t="shared" si="96"/>
        <v>1.2351945290573596</v>
      </c>
      <c r="W83" t="str">
        <f t="shared" si="97"/>
        <v>Administrative and secretarial occupations</v>
      </c>
      <c r="X83" s="11">
        <f t="shared" si="97"/>
        <v>43.540004205757398</v>
      </c>
      <c r="Y83" s="11">
        <f t="shared" si="97"/>
        <v>40.358911022859743</v>
      </c>
      <c r="Z83" s="11">
        <f t="shared" si="97"/>
        <v>39.531558120132821</v>
      </c>
      <c r="AA83" s="11">
        <f t="shared" si="97"/>
        <v>39.318745277360016</v>
      </c>
      <c r="AB83" s="11">
        <f t="shared" si="97"/>
        <v>33.153960101494924</v>
      </c>
      <c r="AD83" s="31">
        <f t="shared" si="98"/>
        <v>-1.9130810108429985</v>
      </c>
      <c r="AE83" s="31">
        <f t="shared" si="99"/>
        <v>-1.1660623307845674</v>
      </c>
    </row>
    <row r="84" spans="1:31">
      <c r="A84" t="str">
        <f t="shared" si="92"/>
        <v>Skilled trades occupations</v>
      </c>
      <c r="B84" s="11">
        <f t="shared" si="92"/>
        <v>61.298727794930358</v>
      </c>
      <c r="C84" s="11">
        <f t="shared" si="92"/>
        <v>61.93589069766864</v>
      </c>
      <c r="D84" s="11">
        <f t="shared" si="92"/>
        <v>52.232847099052961</v>
      </c>
      <c r="E84" s="11">
        <f t="shared" si="92"/>
        <v>51.034079797086527</v>
      </c>
      <c r="F84" s="11">
        <f t="shared" si="92"/>
        <v>46.762923727753545</v>
      </c>
      <c r="H84" s="31">
        <f t="shared" si="100"/>
        <v>-3.1502625897510406</v>
      </c>
      <c r="I84" s="31">
        <f t="shared" si="93"/>
        <v>-0.73475994895060293</v>
      </c>
      <c r="L84" t="str">
        <f t="shared" si="94"/>
        <v>Skilled trades occupations</v>
      </c>
      <c r="M84" s="11">
        <f t="shared" si="94"/>
        <v>56.754509224207411</v>
      </c>
      <c r="N84" s="11">
        <f t="shared" si="94"/>
        <v>57.607674779367684</v>
      </c>
      <c r="O84" s="11">
        <f t="shared" si="94"/>
        <v>47.54750237002817</v>
      </c>
      <c r="P84" s="11">
        <f t="shared" si="94"/>
        <v>46.152528466609084</v>
      </c>
      <c r="Q84" s="11">
        <f t="shared" si="94"/>
        <v>41.679606455520677</v>
      </c>
      <c r="S84" s="31">
        <f t="shared" si="95"/>
        <v>-3.478187791509213</v>
      </c>
      <c r="T84" s="31">
        <f t="shared" si="96"/>
        <v>-0.87427119971423828</v>
      </c>
      <c r="W84" t="str">
        <f t="shared" si="97"/>
        <v>Skilled trades occupations</v>
      </c>
      <c r="X84" s="11">
        <f t="shared" si="97"/>
        <v>4.5442185707229337</v>
      </c>
      <c r="Y84" s="11">
        <f t="shared" si="97"/>
        <v>4.3282159183009998</v>
      </c>
      <c r="Z84" s="11">
        <f t="shared" si="97"/>
        <v>4.6853447290247949</v>
      </c>
      <c r="AA84" s="11">
        <f t="shared" si="97"/>
        <v>4.8815513304774214</v>
      </c>
      <c r="AB84" s="11">
        <f t="shared" si="97"/>
        <v>5.0833172722328834</v>
      </c>
      <c r="AD84" s="31">
        <f t="shared" si="98"/>
        <v>0.61354881122674954</v>
      </c>
      <c r="AE84" s="31">
        <f t="shared" si="99"/>
        <v>0.54497669401818438</v>
      </c>
    </row>
    <row r="85" spans="1:31">
      <c r="A85" t="str">
        <f t="shared" si="92"/>
        <v>Caring, leisure and other service occupations</v>
      </c>
      <c r="B85" s="11">
        <f t="shared" si="92"/>
        <v>50.478192628686543</v>
      </c>
      <c r="C85" s="11">
        <f t="shared" si="92"/>
        <v>51.457710511437895</v>
      </c>
      <c r="D85" s="11">
        <f t="shared" si="92"/>
        <v>49.337956426134348</v>
      </c>
      <c r="E85" s="11">
        <f t="shared" si="92"/>
        <v>50.297533097424598</v>
      </c>
      <c r="F85" s="11">
        <f t="shared" si="92"/>
        <v>53.919691330747085</v>
      </c>
      <c r="H85" s="31">
        <f t="shared" si="100"/>
        <v>-0.45591198836449909</v>
      </c>
      <c r="I85" s="31">
        <f t="shared" si="93"/>
        <v>0.5937695306053703</v>
      </c>
      <c r="L85" t="str">
        <f t="shared" si="94"/>
        <v>Caring, leisure and other service occupations</v>
      </c>
      <c r="M85" s="11">
        <f t="shared" si="94"/>
        <v>7.6489928676305334</v>
      </c>
      <c r="N85" s="11">
        <f t="shared" si="94"/>
        <v>7.5516485551120986</v>
      </c>
      <c r="O85" s="11">
        <f t="shared" si="94"/>
        <v>7.3493018432232056</v>
      </c>
      <c r="P85" s="11">
        <f t="shared" si="94"/>
        <v>7.8807129768765281</v>
      </c>
      <c r="Q85" s="11">
        <f t="shared" si="94"/>
        <v>8.6698098845315457</v>
      </c>
      <c r="S85" s="31">
        <f t="shared" si="95"/>
        <v>-0.79618683740697582</v>
      </c>
      <c r="T85" s="31">
        <f t="shared" si="96"/>
        <v>1.107700342974427</v>
      </c>
      <c r="W85" t="str">
        <f t="shared" si="97"/>
        <v>Caring, leisure and other service occupations</v>
      </c>
      <c r="X85" s="11">
        <f t="shared" si="97"/>
        <v>42.829199761056003</v>
      </c>
      <c r="Y85" s="11">
        <f t="shared" si="97"/>
        <v>43.906061956325814</v>
      </c>
      <c r="Z85" s="11">
        <f t="shared" si="97"/>
        <v>41.988654582911131</v>
      </c>
      <c r="AA85" s="11">
        <f t="shared" si="97"/>
        <v>42.416820120548081</v>
      </c>
      <c r="AB85" s="11">
        <f t="shared" si="97"/>
        <v>45.249881446215547</v>
      </c>
      <c r="AD85" s="31">
        <f>IF(Z$6-X$6 &lt;&gt; 0,(EXP(LN(Z13/X13)/(Z$6-X$6))-1)*100,0)</f>
        <v>-0.39562841178113484</v>
      </c>
      <c r="AE85" s="31">
        <f t="shared" si="99"/>
        <v>0.49991608045885094</v>
      </c>
    </row>
    <row r="86" spans="1:31">
      <c r="A86" t="str">
        <f t="shared" si="92"/>
        <v>Sales and customer service occupations</v>
      </c>
      <c r="B86" s="11">
        <f t="shared" si="92"/>
        <v>43.312490842090227</v>
      </c>
      <c r="C86" s="11">
        <f t="shared" si="92"/>
        <v>39.584257231886966</v>
      </c>
      <c r="D86" s="11">
        <f t="shared" si="92"/>
        <v>39.339785940793128</v>
      </c>
      <c r="E86" s="11">
        <f t="shared" si="92"/>
        <v>39.372468047859556</v>
      </c>
      <c r="F86" s="11">
        <f t="shared" si="92"/>
        <v>39.081082804049579</v>
      </c>
      <c r="H86" s="31">
        <f t="shared" si="100"/>
        <v>-1.9057013424181979</v>
      </c>
      <c r="I86" s="31">
        <f t="shared" si="93"/>
        <v>-4.3975911251237232E-2</v>
      </c>
      <c r="L86" t="str">
        <f t="shared" si="94"/>
        <v>Sales and customer service occupations</v>
      </c>
      <c r="M86" s="11">
        <f t="shared" si="94"/>
        <v>17.699134073339792</v>
      </c>
      <c r="N86" s="11">
        <f t="shared" si="94"/>
        <v>16.267488273262138</v>
      </c>
      <c r="O86" s="11">
        <f t="shared" si="94"/>
        <v>16.721380568434249</v>
      </c>
      <c r="P86" s="11">
        <f t="shared" si="94"/>
        <v>17.445617177689833</v>
      </c>
      <c r="Q86" s="11">
        <f t="shared" si="94"/>
        <v>17.778444960888887</v>
      </c>
      <c r="S86" s="31">
        <f t="shared" si="95"/>
        <v>-1.1301164974109046</v>
      </c>
      <c r="T86" s="31">
        <f t="shared" si="96"/>
        <v>0.40949342321745519</v>
      </c>
      <c r="W86" t="str">
        <f t="shared" si="97"/>
        <v>Sales and customer service occupations</v>
      </c>
      <c r="X86" s="11">
        <f t="shared" si="97"/>
        <v>25.61335676875046</v>
      </c>
      <c r="Y86" s="11">
        <f t="shared" si="97"/>
        <v>23.316768958624813</v>
      </c>
      <c r="Z86" s="11">
        <f t="shared" si="97"/>
        <v>22.618405372358861</v>
      </c>
      <c r="AA86" s="11">
        <f t="shared" si="97"/>
        <v>21.926850870169652</v>
      </c>
      <c r="AB86" s="11">
        <f t="shared" si="97"/>
        <v>21.302637843160699</v>
      </c>
      <c r="AD86" s="31">
        <f t="shared" si="98"/>
        <v>-2.4563287950383317</v>
      </c>
      <c r="AE86" s="31">
        <f t="shared" si="99"/>
        <v>-0.39875660862359608</v>
      </c>
    </row>
    <row r="87" spans="1:31">
      <c r="A87" t="str">
        <f t="shared" si="92"/>
        <v>Process, plant and machine operatives</v>
      </c>
      <c r="B87" s="11">
        <f t="shared" si="92"/>
        <v>47.140684059777129</v>
      </c>
      <c r="C87" s="11">
        <f t="shared" si="92"/>
        <v>46.572468845695909</v>
      </c>
      <c r="D87" s="11">
        <f t="shared" si="92"/>
        <v>40.358374305998041</v>
      </c>
      <c r="E87" s="11">
        <f t="shared" si="92"/>
        <v>41.728305575825772</v>
      </c>
      <c r="F87" s="11">
        <f t="shared" si="92"/>
        <v>40.199737732609378</v>
      </c>
      <c r="H87" s="31">
        <f t="shared" si="100"/>
        <v>-3.058986311425782</v>
      </c>
      <c r="I87" s="31">
        <f t="shared" si="93"/>
        <v>-2.6252842027107981E-2</v>
      </c>
      <c r="L87" t="str">
        <f t="shared" si="94"/>
        <v>Process, plant and machine operatives</v>
      </c>
      <c r="M87" s="11">
        <f t="shared" si="94"/>
        <v>41.541071156937718</v>
      </c>
      <c r="N87" s="11">
        <f t="shared" si="94"/>
        <v>40.6978616531879</v>
      </c>
      <c r="O87" s="11">
        <f t="shared" si="94"/>
        <v>35.308709081343153</v>
      </c>
      <c r="P87" s="11">
        <f t="shared" si="94"/>
        <v>35.713046846558441</v>
      </c>
      <c r="Q87" s="11">
        <f t="shared" si="94"/>
        <v>34.024566162099731</v>
      </c>
      <c r="S87" s="31">
        <f t="shared" si="95"/>
        <v>-3.1987802358227513</v>
      </c>
      <c r="T87" s="31">
        <f t="shared" si="96"/>
        <v>-0.24667426978464135</v>
      </c>
      <c r="W87" t="str">
        <f t="shared" si="97"/>
        <v>Process, plant and machine operatives</v>
      </c>
      <c r="X87" s="11">
        <f t="shared" si="97"/>
        <v>5.5996129028394144</v>
      </c>
      <c r="Y87" s="11">
        <f t="shared" si="97"/>
        <v>5.8746071925080576</v>
      </c>
      <c r="Z87" s="11">
        <f t="shared" si="97"/>
        <v>5.0496652246549001</v>
      </c>
      <c r="AA87" s="11">
        <f t="shared" si="97"/>
        <v>6.0152587292673356</v>
      </c>
      <c r="AB87" s="11">
        <f t="shared" si="97"/>
        <v>6.1751715705096224</v>
      </c>
      <c r="AD87" s="31">
        <f t="shared" si="98"/>
        <v>-2.0462839793803256</v>
      </c>
      <c r="AE87" s="31">
        <f t="shared" si="99"/>
        <v>1.3504690099323424</v>
      </c>
    </row>
    <row r="88" spans="1:31">
      <c r="A88" t="str">
        <f t="shared" si="92"/>
        <v>Elementary occupations</v>
      </c>
      <c r="B88" s="11">
        <f t="shared" si="92"/>
        <v>56.959938314054895</v>
      </c>
      <c r="C88" s="11">
        <f t="shared" si="92"/>
        <v>51.598951207068083</v>
      </c>
      <c r="D88" s="11">
        <f t="shared" si="92"/>
        <v>46.286833202091827</v>
      </c>
      <c r="E88" s="11">
        <f t="shared" si="92"/>
        <v>48.234655478640505</v>
      </c>
      <c r="F88" s="11">
        <f t="shared" si="92"/>
        <v>45.977952071338812</v>
      </c>
      <c r="H88" s="31">
        <f t="shared" si="100"/>
        <v>-4.06488694397712</v>
      </c>
      <c r="I88" s="31">
        <f t="shared" si="93"/>
        <v>-4.462711763347782E-2</v>
      </c>
      <c r="L88" t="str">
        <f t="shared" si="94"/>
        <v>Elementary occupations</v>
      </c>
      <c r="M88" s="11">
        <f t="shared" si="94"/>
        <v>32.217453269733966</v>
      </c>
      <c r="N88" s="11">
        <f t="shared" si="94"/>
        <v>27.32955702792961</v>
      </c>
      <c r="O88" s="11">
        <f t="shared" si="94"/>
        <v>25.416854953849867</v>
      </c>
      <c r="P88" s="11">
        <f t="shared" si="94"/>
        <v>27.25507453503343</v>
      </c>
      <c r="Q88" s="11">
        <f t="shared" si="94"/>
        <v>26.125992998296034</v>
      </c>
      <c r="S88" s="31">
        <f t="shared" si="95"/>
        <v>-4.6312433481047188</v>
      </c>
      <c r="T88" s="31">
        <f t="shared" si="96"/>
        <v>0.18362294252933786</v>
      </c>
      <c r="W88" t="str">
        <f t="shared" si="97"/>
        <v>Elementary occupations</v>
      </c>
      <c r="X88" s="11">
        <f t="shared" si="97"/>
        <v>24.742485044320905</v>
      </c>
      <c r="Y88" s="11">
        <f t="shared" si="97"/>
        <v>24.26939417913848</v>
      </c>
      <c r="Z88" s="11">
        <f t="shared" si="97"/>
        <v>20.869978248242013</v>
      </c>
      <c r="AA88" s="11">
        <f t="shared" si="97"/>
        <v>20.979580943607111</v>
      </c>
      <c r="AB88" s="11">
        <f t="shared" si="97"/>
        <v>19.851959073042799</v>
      </c>
      <c r="AD88" s="31">
        <f t="shared" si="98"/>
        <v>-3.3469115545745387</v>
      </c>
      <c r="AE88" s="31">
        <f t="shared" si="99"/>
        <v>-0.33283808004080928</v>
      </c>
    </row>
    <row r="89" spans="1:31">
      <c r="B89" s="11"/>
      <c r="C89" s="11"/>
      <c r="D89" s="11"/>
      <c r="E89" s="11"/>
      <c r="F89" s="11"/>
      <c r="H89" s="31"/>
      <c r="I89" s="31"/>
      <c r="M89" s="11"/>
      <c r="N89" s="11"/>
      <c r="O89" s="11"/>
      <c r="P89" s="11"/>
      <c r="Q89" s="11"/>
      <c r="S89" s="31"/>
      <c r="T89" s="31"/>
      <c r="X89" s="11"/>
      <c r="Y89" s="11"/>
      <c r="Z89" s="11"/>
      <c r="AA89" s="11"/>
      <c r="AB89" s="11"/>
      <c r="AD89" s="31"/>
      <c r="AE89" s="31"/>
    </row>
    <row r="90" spans="1:31">
      <c r="A90" s="22" t="str">
        <f t="shared" ref="A90:F90" si="101">A18</f>
        <v>All occupations</v>
      </c>
      <c r="B90" s="27">
        <f t="shared" si="101"/>
        <v>505.56200000000013</v>
      </c>
      <c r="C90" s="27">
        <f t="shared" si="101"/>
        <v>509.93099999999964</v>
      </c>
      <c r="D90" s="27">
        <f t="shared" si="101"/>
        <v>496.19399999999968</v>
      </c>
      <c r="E90" s="27">
        <f t="shared" si="101"/>
        <v>508.1280000000001</v>
      </c>
      <c r="F90" s="27">
        <f t="shared" si="101"/>
        <v>521.94399999999951</v>
      </c>
      <c r="H90" s="34">
        <f>IF(D$6-B$6 &lt;&gt; 0,(EXP(LN(D18/B18)/(D$6-B$6))-1)*100,0)</f>
        <v>-0.37337526450478276</v>
      </c>
      <c r="I90" s="34">
        <f>F56</f>
        <v>0.33785827979151417</v>
      </c>
      <c r="L90" s="22" t="str">
        <f t="shared" ref="L90:Q90" si="102">L18</f>
        <v>All occupations</v>
      </c>
      <c r="M90" s="27">
        <f t="shared" si="102"/>
        <v>278.47300247517569</v>
      </c>
      <c r="N90" s="27">
        <f t="shared" si="102"/>
        <v>275.90173239601108</v>
      </c>
      <c r="O90" s="27">
        <f t="shared" si="102"/>
        <v>265.09940440414124</v>
      </c>
      <c r="P90" s="27">
        <f t="shared" si="102"/>
        <v>269.87496646904503</v>
      </c>
      <c r="Q90" s="27">
        <f t="shared" si="102"/>
        <v>273.44446800613349</v>
      </c>
      <c r="S90" s="34">
        <f>IF(O$6-M$6 &lt;&gt; 0,(EXP(LN(O18/M18)/(O$6-M$6))-1)*100,0)</f>
        <v>-0.979496358002796</v>
      </c>
      <c r="T90" s="34">
        <f>Q56</f>
        <v>0.20683823318077277</v>
      </c>
      <c r="W90" s="22" t="str">
        <f t="shared" ref="W90:AB90" si="103">W18</f>
        <v>All occupations</v>
      </c>
      <c r="X90" s="27">
        <f t="shared" si="103"/>
        <v>227.08899752482446</v>
      </c>
      <c r="Y90" s="27">
        <f t="shared" si="103"/>
        <v>234.0292676039887</v>
      </c>
      <c r="Z90" s="27">
        <f t="shared" si="103"/>
        <v>231.09459559585861</v>
      </c>
      <c r="AA90" s="27">
        <f t="shared" si="103"/>
        <v>238.25303353095495</v>
      </c>
      <c r="AB90" s="27">
        <f t="shared" si="103"/>
        <v>248.49953199386613</v>
      </c>
      <c r="AD90" s="34">
        <f>IF(Z$6-X$6 &lt;&gt; 0,(EXP(LN(Z18/X18)/(Z$6-X$6))-1)*100,0)</f>
        <v>0.3503147973089149</v>
      </c>
      <c r="AE90" s="34">
        <f>AB56</f>
        <v>0.4852658244766328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>
      <c r="A1" s="18" t="str">
        <f>CONCATENATE("Occupation Table 2  Employment Change by Occupation (SOC 2020) and Replacement Demand, ",B$6,"-",F$6,", ",Info!B5)</f>
        <v>Occupation Table 2  Employment Change by Occupation (SOC 2020) and Replacement Demand, 2015-2035, Black Country</v>
      </c>
      <c r="L1" s="18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Black Country</v>
      </c>
      <c r="W1" s="18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Black Country</v>
      </c>
    </row>
    <row r="2" spans="1:32" ht="12.75" customHeight="1">
      <c r="A2" s="159" t="s">
        <v>161</v>
      </c>
      <c r="D2" s="311"/>
      <c r="G2" s="68"/>
      <c r="J2" s="68"/>
      <c r="M2" s="68"/>
      <c r="P2" s="68"/>
      <c r="S2" s="68"/>
      <c r="V2" s="68"/>
    </row>
    <row r="3" spans="1:32">
      <c r="F3" s="16" t="s">
        <v>112</v>
      </c>
      <c r="J3" s="16" t="s">
        <v>112</v>
      </c>
      <c r="Q3" s="16" t="s">
        <v>112</v>
      </c>
      <c r="U3" s="16" t="s">
        <v>112</v>
      </c>
      <c r="AB3" s="16" t="s">
        <v>112</v>
      </c>
      <c r="AF3" s="16" t="s">
        <v>112</v>
      </c>
    </row>
    <row r="4" spans="1:32">
      <c r="A4" s="29"/>
      <c r="B4" s="29"/>
      <c r="C4" s="29"/>
      <c r="D4" s="29"/>
      <c r="E4" s="29"/>
      <c r="F4" s="29"/>
      <c r="H4" s="81" t="str">
        <f>CONCATENATE(D6,"-",F6)</f>
        <v>2020-2035</v>
      </c>
      <c r="I4" s="29"/>
      <c r="J4" s="29"/>
      <c r="L4" s="24" t="s">
        <v>157</v>
      </c>
      <c r="M4" s="29"/>
      <c r="N4" s="29"/>
      <c r="O4" s="29"/>
      <c r="P4" s="29"/>
      <c r="Q4" s="29"/>
      <c r="S4" s="81" t="str">
        <f>CONCATENATE(O6,"-",Q6)</f>
        <v>2020-2035</v>
      </c>
      <c r="T4" s="29"/>
      <c r="U4" s="29"/>
      <c r="W4" s="24" t="s">
        <v>158</v>
      </c>
      <c r="X4" s="29"/>
      <c r="Y4" s="29"/>
      <c r="Z4" s="29"/>
      <c r="AA4" s="29"/>
      <c r="AB4" s="29"/>
      <c r="AD4" s="81" t="str">
        <f>CONCATENATE(Z6,"-",AB6)</f>
        <v>2020-2035</v>
      </c>
      <c r="AE4" s="29"/>
      <c r="AF4" s="29"/>
    </row>
    <row r="5" spans="1:32">
      <c r="H5" s="16" t="s">
        <v>115</v>
      </c>
      <c r="I5" s="16" t="s">
        <v>116</v>
      </c>
      <c r="J5" s="16" t="s">
        <v>117</v>
      </c>
      <c r="S5" s="16" t="s">
        <v>115</v>
      </c>
      <c r="T5" s="16" t="s">
        <v>116</v>
      </c>
      <c r="U5" s="16" t="s">
        <v>117</v>
      </c>
      <c r="AD5" s="16" t="s">
        <v>115</v>
      </c>
      <c r="AE5" s="16" t="s">
        <v>116</v>
      </c>
      <c r="AF5" s="16" t="s">
        <v>117</v>
      </c>
    </row>
    <row r="6" spans="1:32">
      <c r="A6" s="32" t="s">
        <v>128</v>
      </c>
      <c r="B6" s="33">
        <v>2015</v>
      </c>
      <c r="C6" s="33">
        <v>2019</v>
      </c>
      <c r="D6" s="33">
        <v>2020</v>
      </c>
      <c r="E6" s="33">
        <v>2025</v>
      </c>
      <c r="F6" s="33">
        <v>2035</v>
      </c>
      <c r="H6" s="51" t="s">
        <v>118</v>
      </c>
      <c r="I6" s="51" t="s">
        <v>119</v>
      </c>
      <c r="J6" s="51" t="s">
        <v>120</v>
      </c>
      <c r="L6" s="32" t="s">
        <v>128</v>
      </c>
      <c r="M6" s="33">
        <f>B6</f>
        <v>2015</v>
      </c>
      <c r="N6" s="33">
        <f t="shared" ref="N6:Q6" si="0">C6</f>
        <v>2019</v>
      </c>
      <c r="O6" s="33">
        <f t="shared" si="0"/>
        <v>2020</v>
      </c>
      <c r="P6" s="33">
        <f t="shared" si="0"/>
        <v>2025</v>
      </c>
      <c r="Q6" s="33">
        <f t="shared" si="0"/>
        <v>2035</v>
      </c>
      <c r="S6" s="51" t="s">
        <v>118</v>
      </c>
      <c r="T6" s="51" t="s">
        <v>119</v>
      </c>
      <c r="U6" s="51" t="s">
        <v>120</v>
      </c>
      <c r="W6" s="32" t="s">
        <v>128</v>
      </c>
      <c r="X6" s="33">
        <f>B6</f>
        <v>2015</v>
      </c>
      <c r="Y6" s="33">
        <f t="shared" ref="Y6:AB6" si="1">C6</f>
        <v>2019</v>
      </c>
      <c r="Z6" s="33">
        <f t="shared" si="1"/>
        <v>2020</v>
      </c>
      <c r="AA6" s="33">
        <f t="shared" si="1"/>
        <v>2025</v>
      </c>
      <c r="AB6" s="33">
        <f t="shared" si="1"/>
        <v>2035</v>
      </c>
      <c r="AD6" s="51" t="s">
        <v>118</v>
      </c>
      <c r="AE6" s="51" t="s">
        <v>119</v>
      </c>
      <c r="AF6" s="51" t="s">
        <v>120</v>
      </c>
    </row>
    <row r="8" spans="1:32">
      <c r="A8" s="10" t="str">
        <f>name!D4</f>
        <v>11 Corporate managers and directors</v>
      </c>
      <c r="B8" s="11">
        <v>29.880785800881405</v>
      </c>
      <c r="C8" s="11">
        <v>33.670781149647794</v>
      </c>
      <c r="D8" s="11">
        <v>34.557349518918279</v>
      </c>
      <c r="E8" s="11">
        <v>31.172230771306513</v>
      </c>
      <c r="F8" s="11">
        <v>33.924972676339749</v>
      </c>
      <c r="G8" s="10"/>
      <c r="H8" s="11">
        <f>F8-D8</f>
        <v>-0.63237684257853033</v>
      </c>
      <c r="I8" s="11">
        <f>'RD T1'!E7</f>
        <v>16.489966459804396</v>
      </c>
      <c r="J8" s="11">
        <f>SUM(H8:I8)</f>
        <v>15.857589617225866</v>
      </c>
      <c r="L8" s="10" t="str">
        <f>name!D4</f>
        <v>11 Corporate managers and directors</v>
      </c>
      <c r="M8" s="11">
        <v>21.454658057601161</v>
      </c>
      <c r="N8" s="11">
        <v>23.253971641556287</v>
      </c>
      <c r="O8" s="11">
        <v>23.54205175517588</v>
      </c>
      <c r="P8" s="11">
        <v>20.412137547650719</v>
      </c>
      <c r="Q8" s="11">
        <v>21.302900715398657</v>
      </c>
      <c r="R8" s="10"/>
      <c r="S8" s="11">
        <f>Q8-O8</f>
        <v>-2.239151039777223</v>
      </c>
      <c r="T8" s="11">
        <f>'RD T1'!T7</f>
        <v>9.7644471705677418</v>
      </c>
      <c r="U8" s="11">
        <f>SUM(S8:T8)</f>
        <v>7.5252961307905188</v>
      </c>
      <c r="W8" s="10" t="str">
        <f>name!D4</f>
        <v>11 Corporate managers and directors</v>
      </c>
      <c r="X8" s="11">
        <v>8.4261277432802579</v>
      </c>
      <c r="Y8" s="11">
        <v>10.416809508091493</v>
      </c>
      <c r="Z8" s="11">
        <v>11.015297763742437</v>
      </c>
      <c r="AA8" s="11">
        <v>10.760093223655758</v>
      </c>
      <c r="AB8" s="11">
        <v>12.622071960941076</v>
      </c>
      <c r="AC8" s="10"/>
      <c r="AD8" s="11">
        <f>AB8-Z8</f>
        <v>1.6067741971986393</v>
      </c>
      <c r="AE8" s="11">
        <f>'RD T1'!T36</f>
        <v>6.7255192892366518</v>
      </c>
      <c r="AF8" s="11">
        <f>SUM(AD8:AE8)</f>
        <v>8.3322934864352902</v>
      </c>
    </row>
    <row r="9" spans="1:32">
      <c r="A9" s="10" t="str">
        <f>name!D5</f>
        <v>12 Other managers and proprietors</v>
      </c>
      <c r="B9" s="11">
        <v>12.511934815118931</v>
      </c>
      <c r="C9" s="11">
        <v>12.674366859929489</v>
      </c>
      <c r="D9" s="11">
        <v>13.243017973457505</v>
      </c>
      <c r="E9" s="11">
        <v>13.664593479636807</v>
      </c>
      <c r="F9" s="11">
        <v>15.301206610194454</v>
      </c>
      <c r="H9" s="11">
        <f t="shared" ref="H9:H32" si="2">F9-D9</f>
        <v>2.0581886367369489</v>
      </c>
      <c r="I9" s="11">
        <f>'RD T1'!E8</f>
        <v>8.0712592420323954</v>
      </c>
      <c r="J9" s="11">
        <f>SUM(H9:I9)</f>
        <v>10.129447878769344</v>
      </c>
      <c r="L9" s="10" t="str">
        <f>name!D5</f>
        <v>12 Other managers and proprietors</v>
      </c>
      <c r="M9" s="11">
        <v>7.5795667609880075</v>
      </c>
      <c r="N9" s="11">
        <v>7.7941322022029569</v>
      </c>
      <c r="O9" s="11">
        <v>7.3861335606273251</v>
      </c>
      <c r="P9" s="11">
        <v>8.3217221266713981</v>
      </c>
      <c r="Q9" s="11">
        <v>9.2680775133572819</v>
      </c>
      <c r="S9" s="11">
        <f t="shared" ref="S9:S32" si="3">Q9-O9</f>
        <v>1.8819439527299568</v>
      </c>
      <c r="T9" s="11">
        <f>'RD T1'!T8</f>
        <v>4.3705630228715577</v>
      </c>
      <c r="U9" s="11">
        <f>SUM(S9:T9)</f>
        <v>6.2525069756015146</v>
      </c>
      <c r="W9" s="10" t="str">
        <f>name!D5</f>
        <v>12 Other managers and proprietors</v>
      </c>
      <c r="X9" s="11">
        <v>4.9323680541309223</v>
      </c>
      <c r="Y9" s="11">
        <v>4.8802346577265361</v>
      </c>
      <c r="Z9" s="11">
        <v>5.8568844128301869</v>
      </c>
      <c r="AA9" s="11">
        <v>5.3428713529654024</v>
      </c>
      <c r="AB9" s="11">
        <v>6.0331290968371736</v>
      </c>
      <c r="AD9" s="11">
        <f t="shared" ref="AD9:AD32" si="4">AB9-Z9</f>
        <v>0.17624468400698667</v>
      </c>
      <c r="AE9" s="11">
        <f>'RD T1'!T37</f>
        <v>3.7006962191608381</v>
      </c>
      <c r="AF9" s="11">
        <f>SUM(AD9:AE9)</f>
        <v>3.8769409031678248</v>
      </c>
    </row>
    <row r="10" spans="1:32">
      <c r="A10" s="10" t="str">
        <f>name!D6</f>
        <v>21 Science, research, engineering and technology professionals</v>
      </c>
      <c r="B10" s="11">
        <v>23.692567314037611</v>
      </c>
      <c r="C10" s="11">
        <v>25.522442469208745</v>
      </c>
      <c r="D10" s="11">
        <v>26.67415223973487</v>
      </c>
      <c r="E10" s="11">
        <v>32.331352616593463</v>
      </c>
      <c r="F10" s="11">
        <v>36.460147888250177</v>
      </c>
      <c r="G10" s="11"/>
      <c r="H10" s="11">
        <f t="shared" si="2"/>
        <v>9.785995648515307</v>
      </c>
      <c r="I10" s="11">
        <f>'RD T1'!E9</f>
        <v>12.028708446399156</v>
      </c>
      <c r="J10" s="11">
        <f t="shared" ref="J10:J32" si="5">SUM(H10:I10)</f>
        <v>21.814704094914461</v>
      </c>
      <c r="L10" s="10" t="str">
        <f>name!D6</f>
        <v>21 Science, research, engineering and technology professionals</v>
      </c>
      <c r="M10" s="11">
        <v>19.986025304537037</v>
      </c>
      <c r="N10" s="11">
        <v>21.615322305784471</v>
      </c>
      <c r="O10" s="11">
        <v>21.806577872402684</v>
      </c>
      <c r="P10" s="11">
        <v>25.770202574421965</v>
      </c>
      <c r="Q10" s="11">
        <v>28.300759774136683</v>
      </c>
      <c r="R10" s="11"/>
      <c r="S10" s="11">
        <f t="shared" si="3"/>
        <v>6.4941819017339988</v>
      </c>
      <c r="T10" s="11">
        <f>'RD T1'!T9</f>
        <v>8.511606322599528</v>
      </c>
      <c r="U10" s="11">
        <f t="shared" ref="U10:U32" si="6">SUM(S10:T10)</f>
        <v>15.005788224333527</v>
      </c>
      <c r="W10" s="10" t="str">
        <f>name!D6</f>
        <v>21 Science, research, engineering and technology professionals</v>
      </c>
      <c r="X10" s="11">
        <v>3.7065420095005157</v>
      </c>
      <c r="Y10" s="11">
        <v>3.9071201634243011</v>
      </c>
      <c r="Z10" s="11">
        <v>4.8675743673321961</v>
      </c>
      <c r="AA10" s="11">
        <v>6.5611500421714508</v>
      </c>
      <c r="AB10" s="11">
        <v>8.1593881141135594</v>
      </c>
      <c r="AC10" s="11"/>
      <c r="AD10" s="11">
        <f t="shared" si="4"/>
        <v>3.2918137467813633</v>
      </c>
      <c r="AE10" s="11">
        <f>'RD T1'!T38</f>
        <v>3.5171021237996292</v>
      </c>
      <c r="AF10" s="11">
        <f t="shared" ref="AF10:AF32" si="7">SUM(AD10:AE10)</f>
        <v>6.8089158705809929</v>
      </c>
    </row>
    <row r="11" spans="1:32">
      <c r="A11" s="10" t="str">
        <f>name!D7</f>
        <v>22 Health professionals</v>
      </c>
      <c r="B11" s="11">
        <v>21.674771905892207</v>
      </c>
      <c r="C11" s="11">
        <v>27.315802663195459</v>
      </c>
      <c r="D11" s="11">
        <v>26.885303796114776</v>
      </c>
      <c r="E11" s="11">
        <v>26.54413441665373</v>
      </c>
      <c r="F11" s="11">
        <v>28.579623063913772</v>
      </c>
      <c r="G11" s="11"/>
      <c r="H11" s="11">
        <f t="shared" si="2"/>
        <v>1.6943192677989956</v>
      </c>
      <c r="I11" s="11">
        <f>'RD T1'!E10</f>
        <v>14.366534680789885</v>
      </c>
      <c r="J11" s="11">
        <f t="shared" si="5"/>
        <v>16.060853948588878</v>
      </c>
      <c r="L11" s="10" t="str">
        <f>name!D7</f>
        <v>22 Health professionals</v>
      </c>
      <c r="M11" s="11">
        <v>5.0825544000815421</v>
      </c>
      <c r="N11" s="11">
        <v>6.4601621724174176</v>
      </c>
      <c r="O11" s="11">
        <v>6.8725916386043506</v>
      </c>
      <c r="P11" s="11">
        <v>6.7683171970345866</v>
      </c>
      <c r="Q11" s="11">
        <v>7.2080802251589775</v>
      </c>
      <c r="R11" s="11"/>
      <c r="S11" s="11">
        <f t="shared" si="3"/>
        <v>0.33548858655462688</v>
      </c>
      <c r="T11" s="11">
        <f>'RD T1'!T10</f>
        <v>2.6409805976244649</v>
      </c>
      <c r="U11" s="11">
        <f t="shared" si="6"/>
        <v>2.9764691841790918</v>
      </c>
      <c r="W11" s="10" t="str">
        <f>name!D7</f>
        <v>22 Health professionals</v>
      </c>
      <c r="X11" s="11">
        <v>16.592217505810641</v>
      </c>
      <c r="Y11" s="11">
        <v>20.855640490778033</v>
      </c>
      <c r="Z11" s="11">
        <v>20.01271215751045</v>
      </c>
      <c r="AA11" s="11">
        <v>19.77581721961911</v>
      </c>
      <c r="AB11" s="11">
        <v>21.371542838754806</v>
      </c>
      <c r="AC11" s="11"/>
      <c r="AD11" s="11">
        <f t="shared" si="4"/>
        <v>1.3588306812443562</v>
      </c>
      <c r="AE11" s="11">
        <f>'RD T1'!T39</f>
        <v>11.72555408316542</v>
      </c>
      <c r="AF11" s="11">
        <f t="shared" si="7"/>
        <v>13.084384764409776</v>
      </c>
    </row>
    <row r="12" spans="1:32">
      <c r="A12" s="10" t="str">
        <f>name!D8</f>
        <v>23 Teaching and other educational professionals</v>
      </c>
      <c r="B12" s="11">
        <v>19.540374765671235</v>
      </c>
      <c r="C12" s="11">
        <v>20.765597855160532</v>
      </c>
      <c r="D12" s="11">
        <v>22.026617843508607</v>
      </c>
      <c r="E12" s="11">
        <v>21.969692618216403</v>
      </c>
      <c r="F12" s="11">
        <v>24.165356288680911</v>
      </c>
      <c r="G12" s="11"/>
      <c r="H12" s="11">
        <f t="shared" si="2"/>
        <v>2.1387384451723044</v>
      </c>
      <c r="I12" s="11">
        <f>'RD T1'!E11</f>
        <v>11.480232436624902</v>
      </c>
      <c r="J12" s="11">
        <f t="shared" si="5"/>
        <v>13.618970881797207</v>
      </c>
      <c r="L12" s="10" t="str">
        <f>name!D8</f>
        <v>23 Teaching and other educational professionals</v>
      </c>
      <c r="M12" s="11">
        <v>6.5723400569597734</v>
      </c>
      <c r="N12" s="11">
        <v>6.636670282223009</v>
      </c>
      <c r="O12" s="11">
        <v>7.1451073437704435</v>
      </c>
      <c r="P12" s="11">
        <v>7.2878052434135228</v>
      </c>
      <c r="Q12" s="11">
        <v>7.8222420300595887</v>
      </c>
      <c r="R12" s="11"/>
      <c r="S12" s="11">
        <f t="shared" si="3"/>
        <v>0.67713468628914519</v>
      </c>
      <c r="T12" s="11">
        <f>'RD T1'!T11</f>
        <v>3.1883105003307457</v>
      </c>
      <c r="U12" s="11">
        <f t="shared" si="6"/>
        <v>3.8654451866198909</v>
      </c>
      <c r="W12" s="10" t="str">
        <f>name!D8</f>
        <v>23 Teaching and other educational professionals</v>
      </c>
      <c r="X12" s="11">
        <v>12.968034708711482</v>
      </c>
      <c r="Y12" s="11">
        <v>14.128927572937538</v>
      </c>
      <c r="Z12" s="11">
        <v>14.881510499738123</v>
      </c>
      <c r="AA12" s="11">
        <v>14.681887374802837</v>
      </c>
      <c r="AB12" s="11">
        <v>16.343114258621309</v>
      </c>
      <c r="AC12" s="11"/>
      <c r="AD12" s="11">
        <f t="shared" si="4"/>
        <v>1.4616037588831858</v>
      </c>
      <c r="AE12" s="11">
        <f>'RD T1'!T40</f>
        <v>8.2919219362941554</v>
      </c>
      <c r="AF12" s="11">
        <f t="shared" si="7"/>
        <v>9.7535256951773412</v>
      </c>
    </row>
    <row r="13" spans="1:32">
      <c r="A13" s="10" t="str">
        <f>name!D9</f>
        <v>24 Business, media and public service professionals</v>
      </c>
      <c r="B13" s="11">
        <v>22.806193659159341</v>
      </c>
      <c r="C13" s="11">
        <v>25.456333561960076</v>
      </c>
      <c r="D13" s="11">
        <v>27.957759360330201</v>
      </c>
      <c r="E13" s="11">
        <v>29.117208402464584</v>
      </c>
      <c r="F13" s="11">
        <v>32.53409025770577</v>
      </c>
      <c r="G13" s="11"/>
      <c r="H13" s="11">
        <f t="shared" si="2"/>
        <v>4.5763308973755699</v>
      </c>
      <c r="I13" s="11">
        <f>'RD T1'!E12</f>
        <v>14.223907661776634</v>
      </c>
      <c r="J13" s="11">
        <f t="shared" si="5"/>
        <v>18.800238559152206</v>
      </c>
      <c r="L13" s="10" t="str">
        <f>name!D9</f>
        <v>24 Business, media and public service professionals</v>
      </c>
      <c r="M13" s="11">
        <v>13.893541405818606</v>
      </c>
      <c r="N13" s="11">
        <v>14.748466692046149</v>
      </c>
      <c r="O13" s="11">
        <v>16.215269174648807</v>
      </c>
      <c r="P13" s="11">
        <v>17.07537919751244</v>
      </c>
      <c r="Q13" s="11">
        <v>18.434762102201113</v>
      </c>
      <c r="R13" s="11"/>
      <c r="S13" s="11">
        <f t="shared" si="3"/>
        <v>2.2194929275523059</v>
      </c>
      <c r="T13" s="11">
        <f>'RD T1'!T12</f>
        <v>7.3151806169722464</v>
      </c>
      <c r="U13" s="11">
        <f t="shared" si="6"/>
        <v>9.5346735445245514</v>
      </c>
      <c r="W13" s="10" t="str">
        <f>name!D9</f>
        <v>24 Business, media and public service professionals</v>
      </c>
      <c r="X13" s="11">
        <v>8.9126522533407151</v>
      </c>
      <c r="Y13" s="11">
        <v>10.707866869913953</v>
      </c>
      <c r="Z13" s="11">
        <v>11.742490185681445</v>
      </c>
      <c r="AA13" s="11">
        <v>12.041829204952135</v>
      </c>
      <c r="AB13" s="11">
        <v>14.099328155504613</v>
      </c>
      <c r="AC13" s="11"/>
      <c r="AD13" s="11">
        <f t="shared" si="4"/>
        <v>2.3568379698231681</v>
      </c>
      <c r="AE13" s="11">
        <f>'RD T1'!T41</f>
        <v>6.9087270448043849</v>
      </c>
      <c r="AF13" s="11">
        <f t="shared" si="7"/>
        <v>9.265565014627553</v>
      </c>
    </row>
    <row r="14" spans="1:32">
      <c r="A14" s="10" t="str">
        <f>name!D10</f>
        <v>31 Science, engineering and technology associate professionals</v>
      </c>
      <c r="B14" s="11">
        <v>7.6396337675645283</v>
      </c>
      <c r="C14" s="11">
        <v>8.077817744101548</v>
      </c>
      <c r="D14" s="11">
        <v>8.7119007645620972</v>
      </c>
      <c r="E14" s="11">
        <v>8.0146156799495873</v>
      </c>
      <c r="F14" s="11">
        <v>8.4283160725445487</v>
      </c>
      <c r="G14" s="11"/>
      <c r="H14" s="11">
        <f t="shared" si="2"/>
        <v>-0.28358469201754843</v>
      </c>
      <c r="I14" s="11">
        <f>'RD T1'!E13</f>
        <v>3.2508461489073412</v>
      </c>
      <c r="J14" s="11">
        <f t="shared" si="5"/>
        <v>2.9672614568897928</v>
      </c>
      <c r="L14" s="10" t="str">
        <f>name!D10</f>
        <v>31 Science, engineering and technology associate professionals</v>
      </c>
      <c r="M14" s="11">
        <v>5.9852648662886345</v>
      </c>
      <c r="N14" s="11">
        <v>6.4562749389300134</v>
      </c>
      <c r="O14" s="11">
        <v>6.7208561905131106</v>
      </c>
      <c r="P14" s="11">
        <v>5.9186946402459135</v>
      </c>
      <c r="Q14" s="11">
        <v>5.9693453417966023</v>
      </c>
      <c r="R14" s="11"/>
      <c r="S14" s="11">
        <f t="shared" si="3"/>
        <v>-0.75151084871650831</v>
      </c>
      <c r="T14" s="11">
        <f>'RD T1'!T13</f>
        <v>2.1434136102746773</v>
      </c>
      <c r="U14" s="11">
        <f t="shared" si="6"/>
        <v>1.3919027615581689</v>
      </c>
      <c r="W14" s="10" t="str">
        <f>name!D10</f>
        <v>31 Science, engineering and technology associate professionals</v>
      </c>
      <c r="X14" s="11">
        <v>1.6543689012758929</v>
      </c>
      <c r="Y14" s="11">
        <v>1.6215428051715406</v>
      </c>
      <c r="Z14" s="11">
        <v>1.9910445740489724</v>
      </c>
      <c r="AA14" s="11">
        <v>2.0959210397036738</v>
      </c>
      <c r="AB14" s="11">
        <v>2.4589707307479522</v>
      </c>
      <c r="AC14" s="11"/>
      <c r="AD14" s="11">
        <f t="shared" si="4"/>
        <v>0.46792615669897986</v>
      </c>
      <c r="AE14" s="11">
        <f>'RD T1'!T42</f>
        <v>1.1074325386326642</v>
      </c>
      <c r="AF14" s="11">
        <f t="shared" si="7"/>
        <v>1.5753586953316441</v>
      </c>
    </row>
    <row r="15" spans="1:32">
      <c r="A15" s="10" t="str">
        <f>name!D11</f>
        <v>32 Health and social care associate professionals</v>
      </c>
      <c r="B15" s="11">
        <v>9.0328897579836376</v>
      </c>
      <c r="C15" s="11">
        <v>10.95672977042833</v>
      </c>
      <c r="D15" s="11">
        <v>11.001883705458065</v>
      </c>
      <c r="E15" s="11">
        <v>17.680149098148942</v>
      </c>
      <c r="F15" s="11">
        <v>21.055821572998454</v>
      </c>
      <c r="G15" s="11"/>
      <c r="H15" s="11">
        <f t="shared" si="2"/>
        <v>10.053937867540389</v>
      </c>
      <c r="I15" s="11">
        <f>'RD T1'!E14</f>
        <v>10.475612259565926</v>
      </c>
      <c r="J15" s="11">
        <f t="shared" si="5"/>
        <v>20.529550127106315</v>
      </c>
      <c r="L15" s="10" t="str">
        <f>name!D11</f>
        <v>32 Health and social care associate professionals</v>
      </c>
      <c r="M15" s="11">
        <v>2.0898092470984437</v>
      </c>
      <c r="N15" s="11">
        <v>2.3358003727577166</v>
      </c>
      <c r="O15" s="11">
        <v>2.4607813380873722</v>
      </c>
      <c r="P15" s="11">
        <v>3.284403538104105</v>
      </c>
      <c r="Q15" s="11">
        <v>3.6552006282453262</v>
      </c>
      <c r="R15" s="11"/>
      <c r="S15" s="11">
        <f t="shared" si="3"/>
        <v>1.194419290157954</v>
      </c>
      <c r="T15" s="11">
        <f>'RD T1'!T14</f>
        <v>1.6053834572114065</v>
      </c>
      <c r="U15" s="11">
        <f t="shared" si="6"/>
        <v>2.7998027473693607</v>
      </c>
      <c r="W15" s="10" t="str">
        <f>name!D11</f>
        <v>32 Health and social care associate professionals</v>
      </c>
      <c r="X15" s="11">
        <v>6.9430805108852143</v>
      </c>
      <c r="Y15" s="11">
        <v>8.6209293976705972</v>
      </c>
      <c r="Z15" s="11">
        <v>8.5411023673706872</v>
      </c>
      <c r="AA15" s="11">
        <v>14.395745560044855</v>
      </c>
      <c r="AB15" s="11">
        <v>17.400620944753129</v>
      </c>
      <c r="AC15" s="11"/>
      <c r="AD15" s="11">
        <f t="shared" si="4"/>
        <v>8.8595185773824419</v>
      </c>
      <c r="AE15" s="11">
        <f>'RD T1'!T43</f>
        <v>8.8702288023545197</v>
      </c>
      <c r="AF15" s="11">
        <f t="shared" si="7"/>
        <v>17.729747379736963</v>
      </c>
    </row>
    <row r="16" spans="1:32">
      <c r="A16" s="10" t="str">
        <f>name!D12</f>
        <v>33 Protective service occupations</v>
      </c>
      <c r="B16" s="11">
        <v>4.4444232941510675</v>
      </c>
      <c r="C16" s="11">
        <v>4.4270085893151121</v>
      </c>
      <c r="D16" s="11">
        <v>4.6873216411379666</v>
      </c>
      <c r="E16" s="11">
        <v>4.0581613546153656</v>
      </c>
      <c r="F16" s="11">
        <v>4.4519253372123764</v>
      </c>
      <c r="G16" s="11"/>
      <c r="H16" s="11">
        <f t="shared" si="2"/>
        <v>-0.23539630392559019</v>
      </c>
      <c r="I16" s="11">
        <f>'RD T1'!E15</f>
        <v>1.4492247074295082</v>
      </c>
      <c r="J16" s="11">
        <f t="shared" si="5"/>
        <v>1.213828403503918</v>
      </c>
      <c r="L16" s="10" t="str">
        <f>name!D12</f>
        <v>33 Protective service occupations</v>
      </c>
      <c r="M16" s="11">
        <v>3.4291501970427154</v>
      </c>
      <c r="N16" s="11">
        <v>3.2746787311090442</v>
      </c>
      <c r="O16" s="11">
        <v>3.4149050526208469</v>
      </c>
      <c r="P16" s="11">
        <v>2.9281935889455317</v>
      </c>
      <c r="Q16" s="11">
        <v>2.9406514003190516</v>
      </c>
      <c r="R16" s="11"/>
      <c r="S16" s="11">
        <f t="shared" si="3"/>
        <v>-0.47425365230179528</v>
      </c>
      <c r="T16" s="11">
        <f>'RD T1'!T15</f>
        <v>0.83173271306921326</v>
      </c>
      <c r="U16" s="11">
        <f t="shared" si="6"/>
        <v>0.35747906076741798</v>
      </c>
      <c r="W16" s="10" t="str">
        <f>name!D12</f>
        <v>33 Protective service occupations</v>
      </c>
      <c r="X16" s="11">
        <v>1.0152730971083521</v>
      </c>
      <c r="Y16" s="11">
        <v>1.1523298582060681</v>
      </c>
      <c r="Z16" s="11">
        <v>1.2724165885171148</v>
      </c>
      <c r="AA16" s="11">
        <v>1.1299677656698359</v>
      </c>
      <c r="AB16" s="11">
        <v>1.5112739368933152</v>
      </c>
      <c r="AC16" s="11"/>
      <c r="AD16" s="11">
        <f t="shared" si="4"/>
        <v>0.23885734837620043</v>
      </c>
      <c r="AE16" s="11">
        <f>'RD T1'!T44</f>
        <v>0.61749199436029478</v>
      </c>
      <c r="AF16" s="11">
        <f t="shared" si="7"/>
        <v>0.85634934273649521</v>
      </c>
    </row>
    <row r="17" spans="1:32">
      <c r="A17" s="10" t="str">
        <f>name!D13</f>
        <v>34 Culture, media and sports occupations</v>
      </c>
      <c r="B17" s="11">
        <v>7.5269975158661087</v>
      </c>
      <c r="C17" s="11">
        <v>7.4707121265529306</v>
      </c>
      <c r="D17" s="11">
        <v>7.6956038424600592</v>
      </c>
      <c r="E17" s="11">
        <v>6.6237757922128777</v>
      </c>
      <c r="F17" s="11">
        <v>7.2418470917099587</v>
      </c>
      <c r="G17" s="11"/>
      <c r="H17" s="11">
        <f t="shared" si="2"/>
        <v>-0.45375675075010058</v>
      </c>
      <c r="I17" s="11">
        <f>'RD T1'!E16</f>
        <v>3.1892023159623957</v>
      </c>
      <c r="J17" s="11">
        <f t="shared" si="5"/>
        <v>2.7354455652122951</v>
      </c>
      <c r="L17" s="10" t="str">
        <f>name!D13</f>
        <v>34 Culture, media and sports occupations</v>
      </c>
      <c r="M17" s="11">
        <v>4.5169862879842979</v>
      </c>
      <c r="N17" s="11">
        <v>4.4974358578884148</v>
      </c>
      <c r="O17" s="11">
        <v>4.5437609296462051</v>
      </c>
      <c r="P17" s="11">
        <v>3.8793310026760071</v>
      </c>
      <c r="Q17" s="11">
        <v>4.137314928784833</v>
      </c>
      <c r="R17" s="11"/>
      <c r="S17" s="11">
        <f t="shared" si="3"/>
        <v>-0.40644600086137217</v>
      </c>
      <c r="T17" s="11">
        <f>'RD T1'!T16</f>
        <v>1.6115461631342662</v>
      </c>
      <c r="U17" s="11">
        <f t="shared" si="6"/>
        <v>1.2051001622728941</v>
      </c>
      <c r="W17" s="10" t="str">
        <f>name!D13</f>
        <v>34 Culture, media and sports occupations</v>
      </c>
      <c r="X17" s="11">
        <v>3.0100112278818068</v>
      </c>
      <c r="Y17" s="11">
        <v>2.9732762686645247</v>
      </c>
      <c r="Z17" s="11">
        <v>3.1518429128138599</v>
      </c>
      <c r="AA17" s="11">
        <v>2.7444447895368782</v>
      </c>
      <c r="AB17" s="11">
        <v>3.1045321629251275</v>
      </c>
      <c r="AC17" s="11"/>
      <c r="AD17" s="11">
        <f t="shared" si="4"/>
        <v>-4.7310749888732406E-2</v>
      </c>
      <c r="AE17" s="11">
        <f>'RD T1'!T45</f>
        <v>1.5776561528281297</v>
      </c>
      <c r="AF17" s="11">
        <f t="shared" si="7"/>
        <v>1.5303454029393972</v>
      </c>
    </row>
    <row r="18" spans="1:32">
      <c r="A18" s="10" t="str">
        <f>name!D14</f>
        <v>35 Business and public service associate professionals</v>
      </c>
      <c r="B18" s="11">
        <v>27.483441028271098</v>
      </c>
      <c r="C18" s="11">
        <v>27.784113801495693</v>
      </c>
      <c r="D18" s="11">
        <v>28.718892057032409</v>
      </c>
      <c r="E18" s="11">
        <v>28.782348842639074</v>
      </c>
      <c r="F18" s="11">
        <v>30.332034577933754</v>
      </c>
      <c r="G18" s="11"/>
      <c r="H18" s="11">
        <f t="shared" si="2"/>
        <v>1.613142520901345</v>
      </c>
      <c r="I18" s="11">
        <f>'RD T1'!E17</f>
        <v>13.365379856841281</v>
      </c>
      <c r="J18" s="11">
        <f t="shared" si="5"/>
        <v>14.978522377742626</v>
      </c>
      <c r="L18" s="10" t="str">
        <f>name!D14</f>
        <v>35 Business and public service associate professionals</v>
      </c>
      <c r="M18" s="11">
        <v>15.423996768819533</v>
      </c>
      <c r="N18" s="11">
        <v>15.073483017849448</v>
      </c>
      <c r="O18" s="11">
        <v>15.700778568083784</v>
      </c>
      <c r="P18" s="11">
        <v>15.597850156235705</v>
      </c>
      <c r="Q18" s="11">
        <v>15.753402090816163</v>
      </c>
      <c r="R18" s="11"/>
      <c r="S18" s="11">
        <f t="shared" si="3"/>
        <v>5.2623522732378802E-2</v>
      </c>
      <c r="T18" s="11">
        <f>'RD T1'!T17</f>
        <v>6.0011903139623914</v>
      </c>
      <c r="U18" s="11">
        <f t="shared" si="6"/>
        <v>6.0538138366947702</v>
      </c>
      <c r="W18" s="10" t="str">
        <f>name!D14</f>
        <v>35 Business and public service associate professionals</v>
      </c>
      <c r="X18" s="11">
        <v>12.059444259451524</v>
      </c>
      <c r="Y18" s="11">
        <v>12.710630783646232</v>
      </c>
      <c r="Z18" s="11">
        <v>13.018113488948627</v>
      </c>
      <c r="AA18" s="11">
        <v>13.184498686403362</v>
      </c>
      <c r="AB18" s="11">
        <v>14.578632487117588</v>
      </c>
      <c r="AC18" s="11"/>
      <c r="AD18" s="11">
        <f t="shared" si="4"/>
        <v>1.5605189981689609</v>
      </c>
      <c r="AE18" s="11">
        <f>'RD T1'!T46</f>
        <v>7.364189542878889</v>
      </c>
      <c r="AF18" s="11">
        <f t="shared" si="7"/>
        <v>8.9247085410478491</v>
      </c>
    </row>
    <row r="19" spans="1:32">
      <c r="A19" s="10" t="str">
        <f>name!D15</f>
        <v>41 Administrative occupations</v>
      </c>
      <c r="B19" s="11">
        <v>49.13839945665805</v>
      </c>
      <c r="C19" s="11">
        <v>45.165151846246381</v>
      </c>
      <c r="D19" s="11">
        <v>47.19806700974938</v>
      </c>
      <c r="E19" s="11">
        <v>48.934345395177246</v>
      </c>
      <c r="F19" s="11">
        <v>48.119806641230511</v>
      </c>
      <c r="G19" s="11"/>
      <c r="H19" s="11">
        <f t="shared" si="2"/>
        <v>0.92173963148113103</v>
      </c>
      <c r="I19" s="11">
        <f>'RD T1'!E18</f>
        <v>24.237425168180764</v>
      </c>
      <c r="J19" s="11">
        <f t="shared" si="5"/>
        <v>25.159164799661895</v>
      </c>
      <c r="L19" s="10" t="str">
        <f>name!D15</f>
        <v>41 Administrative occupations</v>
      </c>
      <c r="M19" s="11">
        <v>15.614024343375872</v>
      </c>
      <c r="N19" s="11">
        <v>13.602661795013343</v>
      </c>
      <c r="O19" s="11">
        <v>16.23011080316379</v>
      </c>
      <c r="P19" s="11">
        <v>17.555947300787484</v>
      </c>
      <c r="Q19" s="11">
        <v>19.651714866681374</v>
      </c>
      <c r="R19" s="11"/>
      <c r="S19" s="11">
        <f t="shared" si="3"/>
        <v>3.4216040635175844</v>
      </c>
      <c r="T19" s="11">
        <f>'RD T1'!T18</f>
        <v>6.9011682914532315</v>
      </c>
      <c r="U19" s="11">
        <f t="shared" si="6"/>
        <v>10.322772354970816</v>
      </c>
      <c r="W19" s="10" t="str">
        <f>name!D15</f>
        <v>41 Administrative occupations</v>
      </c>
      <c r="X19" s="11">
        <v>33.524375113282282</v>
      </c>
      <c r="Y19" s="11">
        <v>31.562490051233027</v>
      </c>
      <c r="Z19" s="11">
        <v>30.967956206585573</v>
      </c>
      <c r="AA19" s="11">
        <v>31.378398094389798</v>
      </c>
      <c r="AB19" s="11">
        <v>28.468091774549112</v>
      </c>
      <c r="AC19" s="11"/>
      <c r="AD19" s="11">
        <f t="shared" si="4"/>
        <v>-2.4998644320364605</v>
      </c>
      <c r="AE19" s="11">
        <f>'RD T1'!T47</f>
        <v>17.336256876727532</v>
      </c>
      <c r="AF19" s="11">
        <f t="shared" si="7"/>
        <v>14.836392444691072</v>
      </c>
    </row>
    <row r="20" spans="1:32">
      <c r="A20" s="10" t="str">
        <f>name!D16</f>
        <v>42 Secretarial and related occupations</v>
      </c>
      <c r="B20" s="11">
        <v>10.999553279205751</v>
      </c>
      <c r="C20" s="11">
        <v>9.4948630690001181</v>
      </c>
      <c r="D20" s="11">
        <v>9.2803332734652102</v>
      </c>
      <c r="E20" s="11">
        <v>8.5683495355485668</v>
      </c>
      <c r="F20" s="11">
        <v>5.4074642547867375</v>
      </c>
      <c r="G20" s="11"/>
      <c r="H20" s="11">
        <f t="shared" si="2"/>
        <v>-3.8728690186784727</v>
      </c>
      <c r="I20" s="11">
        <f>'RD T1'!E19</f>
        <v>3.9957996097654842</v>
      </c>
      <c r="J20" s="11">
        <f t="shared" si="5"/>
        <v>0.12293059108701154</v>
      </c>
      <c r="L20" s="10" t="str">
        <f>name!D16</f>
        <v>42 Secretarial and related occupations</v>
      </c>
      <c r="M20" s="11">
        <v>0.98392418673063797</v>
      </c>
      <c r="N20" s="11">
        <v>0.69844209737340934</v>
      </c>
      <c r="O20" s="11">
        <v>0.71673135991795822</v>
      </c>
      <c r="P20" s="11">
        <v>0.62800235257834147</v>
      </c>
      <c r="Q20" s="11">
        <v>0.72159592784091953</v>
      </c>
      <c r="R20" s="11"/>
      <c r="S20" s="11">
        <f t="shared" si="3"/>
        <v>4.8645679229613048E-3</v>
      </c>
      <c r="T20" s="11">
        <f>'RD T1'!T19</f>
        <v>0.21982309980314124</v>
      </c>
      <c r="U20" s="11">
        <f t="shared" si="6"/>
        <v>0.22468766772610255</v>
      </c>
      <c r="W20" s="10" t="str">
        <f>name!D16</f>
        <v>42 Secretarial and related occupations</v>
      </c>
      <c r="X20" s="11">
        <v>10.015629092475114</v>
      </c>
      <c r="Y20" s="11">
        <v>8.7964209716267145</v>
      </c>
      <c r="Z20" s="11">
        <v>8.5636019135472488</v>
      </c>
      <c r="AA20" s="11">
        <v>7.9403471829702177</v>
      </c>
      <c r="AB20" s="11">
        <v>4.6858683269458146</v>
      </c>
      <c r="AC20" s="11"/>
      <c r="AD20" s="11">
        <f t="shared" si="4"/>
        <v>-3.8777335866014342</v>
      </c>
      <c r="AE20" s="11">
        <f>'RD T1'!T48</f>
        <v>3.7759765099623435</v>
      </c>
      <c r="AF20" s="11">
        <f t="shared" si="7"/>
        <v>-0.10175707663909073</v>
      </c>
    </row>
    <row r="21" spans="1:32">
      <c r="A21" s="10" t="str">
        <f>name!D17</f>
        <v>51 Skilled agricultural and related trades</v>
      </c>
      <c r="B21" s="11">
        <v>4.3313158907234133</v>
      </c>
      <c r="C21" s="11">
        <v>3.8065912759839784</v>
      </c>
      <c r="D21" s="11">
        <v>3.1931450848658716</v>
      </c>
      <c r="E21" s="11">
        <v>3.1783302802326965</v>
      </c>
      <c r="F21" s="11">
        <v>3.5350171502669578</v>
      </c>
      <c r="G21" s="11"/>
      <c r="H21" s="11">
        <f t="shared" si="2"/>
        <v>0.34187206540108628</v>
      </c>
      <c r="I21" s="11">
        <f>'RD T1'!E20</f>
        <v>1.7950590123207246</v>
      </c>
      <c r="J21" s="11">
        <f t="shared" si="5"/>
        <v>2.1369310777218109</v>
      </c>
      <c r="L21" s="10" t="str">
        <f>name!D17</f>
        <v>51 Skilled agricultural and related trades</v>
      </c>
      <c r="M21" s="11">
        <v>3.720569195128824</v>
      </c>
      <c r="N21" s="11">
        <v>3.234923637625847</v>
      </c>
      <c r="O21" s="11">
        <v>2.619953984996287</v>
      </c>
      <c r="P21" s="11">
        <v>2.5539887903192455</v>
      </c>
      <c r="Q21" s="11">
        <v>2.7941578191640217</v>
      </c>
      <c r="R21" s="11"/>
      <c r="S21" s="11">
        <f t="shared" si="3"/>
        <v>0.17420383416773477</v>
      </c>
      <c r="T21" s="11">
        <f>'RD T1'!T20</f>
        <v>1.345558874797504</v>
      </c>
      <c r="U21" s="11">
        <f t="shared" si="6"/>
        <v>1.5197627089652388</v>
      </c>
      <c r="W21" s="10" t="str">
        <f>name!D17</f>
        <v>51 Skilled agricultural and related trades</v>
      </c>
      <c r="X21" s="11">
        <v>0.61074669559458605</v>
      </c>
      <c r="Y21" s="11">
        <v>0.57166763835812839</v>
      </c>
      <c r="Z21" s="11">
        <v>0.57319109986958328</v>
      </c>
      <c r="AA21" s="11">
        <v>0.6243414899134464</v>
      </c>
      <c r="AB21" s="11">
        <v>0.74085933110293289</v>
      </c>
      <c r="AC21" s="11"/>
      <c r="AD21" s="11">
        <f t="shared" si="4"/>
        <v>0.16766823123334962</v>
      </c>
      <c r="AE21" s="11">
        <f>'RD T1'!T49</f>
        <v>0.44950013752322021</v>
      </c>
      <c r="AF21" s="11">
        <f t="shared" si="7"/>
        <v>0.61716836875656989</v>
      </c>
    </row>
    <row r="22" spans="1:32">
      <c r="A22" s="10" t="str">
        <f>name!D18</f>
        <v>52 Skilled metal, electrical and electronic trades</v>
      </c>
      <c r="B22" s="11">
        <v>28.622677836919465</v>
      </c>
      <c r="C22" s="11">
        <v>28.343637186861034</v>
      </c>
      <c r="D22" s="11">
        <v>23.236826282247673</v>
      </c>
      <c r="E22" s="11">
        <v>22.623948301451765</v>
      </c>
      <c r="F22" s="11">
        <v>20.841134342227381</v>
      </c>
      <c r="G22" s="11"/>
      <c r="H22" s="11">
        <f t="shared" si="2"/>
        <v>-2.3956919400202921</v>
      </c>
      <c r="I22" s="11">
        <f>'RD T1'!E21</f>
        <v>8.288991224805331</v>
      </c>
      <c r="J22" s="11">
        <f t="shared" si="5"/>
        <v>5.8932992847850389</v>
      </c>
      <c r="L22" s="10" t="str">
        <f>name!D18</f>
        <v>52 Skilled metal, electrical and electronic trades</v>
      </c>
      <c r="M22" s="11">
        <v>28.257827507545212</v>
      </c>
      <c r="N22" s="11">
        <v>27.756675965101635</v>
      </c>
      <c r="O22" s="11">
        <v>22.785499260413552</v>
      </c>
      <c r="P22" s="11">
        <v>21.885954725295111</v>
      </c>
      <c r="Q22" s="11">
        <v>19.96974145302606</v>
      </c>
      <c r="R22" s="11"/>
      <c r="S22" s="11">
        <f t="shared" si="3"/>
        <v>-2.8157578073874916</v>
      </c>
      <c r="T22" s="11">
        <f>'RD T1'!T21</f>
        <v>7.8661938420712634</v>
      </c>
      <c r="U22" s="11">
        <f t="shared" si="6"/>
        <v>5.0504360346837718</v>
      </c>
      <c r="W22" s="10" t="str">
        <f>name!D18</f>
        <v>52 Skilled metal, electrical and electronic trades</v>
      </c>
      <c r="X22" s="11">
        <v>0.36485032937425493</v>
      </c>
      <c r="Y22" s="11">
        <v>0.58696122175943066</v>
      </c>
      <c r="Z22" s="11">
        <v>0.45132702183413442</v>
      </c>
      <c r="AA22" s="11">
        <v>0.73799357615662997</v>
      </c>
      <c r="AB22" s="11">
        <v>0.8713928892013374</v>
      </c>
      <c r="AC22" s="11"/>
      <c r="AD22" s="11">
        <f t="shared" si="4"/>
        <v>0.42006586736720297</v>
      </c>
      <c r="AE22" s="11">
        <f>'RD T1'!T50</f>
        <v>0.42279738273406742</v>
      </c>
      <c r="AF22" s="11">
        <f t="shared" si="7"/>
        <v>0.84286325010127039</v>
      </c>
    </row>
    <row r="23" spans="1:32">
      <c r="A23" s="10" t="str">
        <f>name!D19</f>
        <v>53 Skilled construction and building trades</v>
      </c>
      <c r="B23" s="11">
        <v>18.67563056886091</v>
      </c>
      <c r="C23" s="11">
        <v>21.339556958033437</v>
      </c>
      <c r="D23" s="11">
        <v>17.473473402618112</v>
      </c>
      <c r="E23" s="11">
        <v>16.813170514329276</v>
      </c>
      <c r="F23" s="11">
        <v>14.401581227548823</v>
      </c>
      <c r="G23" s="11"/>
      <c r="H23" s="11">
        <f t="shared" si="2"/>
        <v>-3.0718921750692889</v>
      </c>
      <c r="I23" s="11">
        <f>'RD T1'!E22</f>
        <v>6.7757096321665671</v>
      </c>
      <c r="J23" s="11">
        <f t="shared" si="5"/>
        <v>3.7038174570972782</v>
      </c>
      <c r="L23" s="10" t="str">
        <f>name!D19</f>
        <v>53 Skilled construction and building trades</v>
      </c>
      <c r="M23" s="11">
        <v>18.431515324301849</v>
      </c>
      <c r="N23" s="11">
        <v>21.107864999136247</v>
      </c>
      <c r="O23" s="11">
        <v>17.18800702433489</v>
      </c>
      <c r="P23" s="11">
        <v>16.647376603639792</v>
      </c>
      <c r="Q23" s="11">
        <v>14.225624089851634</v>
      </c>
      <c r="R23" s="11"/>
      <c r="S23" s="11">
        <f t="shared" si="3"/>
        <v>-2.9623829344832568</v>
      </c>
      <c r="T23" s="11">
        <f>'RD T1'!T22</f>
        <v>6.6839103927580013</v>
      </c>
      <c r="U23" s="11">
        <f t="shared" si="6"/>
        <v>3.7215274582747444</v>
      </c>
      <c r="W23" s="10" t="str">
        <f>name!D19</f>
        <v>53 Skilled construction and building trades</v>
      </c>
      <c r="X23" s="11">
        <v>0.24411524455905587</v>
      </c>
      <c r="Y23" s="11">
        <v>0.23169195889720962</v>
      </c>
      <c r="Z23" s="11">
        <v>0.28546637828323057</v>
      </c>
      <c r="AA23" s="11">
        <v>0.16579391068948263</v>
      </c>
      <c r="AB23" s="11">
        <v>0.17595713769719329</v>
      </c>
      <c r="AC23" s="11"/>
      <c r="AD23" s="11">
        <f t="shared" si="4"/>
        <v>-0.10950924058603728</v>
      </c>
      <c r="AE23" s="11">
        <f>'RD T1'!T51</f>
        <v>9.1799239408565714E-2</v>
      </c>
      <c r="AF23" s="11">
        <f t="shared" si="7"/>
        <v>-1.7710001177471568E-2</v>
      </c>
    </row>
    <row r="24" spans="1:32">
      <c r="A24" s="10" t="str">
        <f>name!D20</f>
        <v>54 Textiles, printing and other skilled trades</v>
      </c>
      <c r="B24" s="11">
        <v>9.6691034984265638</v>
      </c>
      <c r="C24" s="11">
        <v>8.4461052767901954</v>
      </c>
      <c r="D24" s="11">
        <v>8.3294023293213026</v>
      </c>
      <c r="E24" s="11">
        <v>8.418630701072793</v>
      </c>
      <c r="F24" s="11">
        <v>7.9851910077103829</v>
      </c>
      <c r="G24" s="11"/>
      <c r="H24" s="11">
        <f t="shared" si="2"/>
        <v>-0.34421132161091972</v>
      </c>
      <c r="I24" s="11">
        <f>'RD T1'!E23</f>
        <v>3.5018666383829524</v>
      </c>
      <c r="J24" s="11">
        <f t="shared" si="5"/>
        <v>3.1576553167720327</v>
      </c>
      <c r="L24" s="10" t="str">
        <f>name!D20</f>
        <v>54 Textiles, printing and other skilled trades</v>
      </c>
      <c r="M24" s="11">
        <v>6.3445971972315247</v>
      </c>
      <c r="N24" s="11">
        <v>5.5082101775039565</v>
      </c>
      <c r="O24" s="11">
        <v>4.9540421002834485</v>
      </c>
      <c r="P24" s="11">
        <v>5.0652083473549379</v>
      </c>
      <c r="Q24" s="11">
        <v>4.6900830934789584</v>
      </c>
      <c r="R24" s="11"/>
      <c r="S24" s="11">
        <f t="shared" si="3"/>
        <v>-0.26395900680449014</v>
      </c>
      <c r="T24" s="11">
        <f>'RD T1'!T23</f>
        <v>1.5748304160157058</v>
      </c>
      <c r="U24" s="11">
        <f t="shared" si="6"/>
        <v>1.3108714092112157</v>
      </c>
      <c r="W24" s="10" t="str">
        <f>name!D20</f>
        <v>54 Textiles, printing and other skilled trades</v>
      </c>
      <c r="X24" s="11">
        <v>3.3245063011950369</v>
      </c>
      <c r="Y24" s="11">
        <v>2.9378950992862309</v>
      </c>
      <c r="Z24" s="11">
        <v>3.3753602290378462</v>
      </c>
      <c r="AA24" s="11">
        <v>3.3534223537178627</v>
      </c>
      <c r="AB24" s="11">
        <v>3.2951079142314197</v>
      </c>
      <c r="AC24" s="11"/>
      <c r="AD24" s="11">
        <f t="shared" si="4"/>
        <v>-8.0252314806426472E-2</v>
      </c>
      <c r="AE24" s="11">
        <f>'RD T1'!T52</f>
        <v>1.9270362223672461</v>
      </c>
      <c r="AF24" s="11">
        <f t="shared" si="7"/>
        <v>1.8467839075608197</v>
      </c>
    </row>
    <row r="25" spans="1:32">
      <c r="A25" s="10" t="str">
        <f>name!D21</f>
        <v>61 Caring personal service occupations</v>
      </c>
      <c r="B25" s="11">
        <v>38.549226321705426</v>
      </c>
      <c r="C25" s="11">
        <v>41.06186937421402</v>
      </c>
      <c r="D25" s="11">
        <v>39.709013980070296</v>
      </c>
      <c r="E25" s="11">
        <v>41.475231244635403</v>
      </c>
      <c r="F25" s="11">
        <v>45.131434884626096</v>
      </c>
      <c r="G25" s="11"/>
      <c r="H25" s="11">
        <f t="shared" si="2"/>
        <v>5.4224209045557998</v>
      </c>
      <c r="I25" s="11">
        <f>'RD T1'!E24</f>
        <v>24.118414425320019</v>
      </c>
      <c r="J25" s="11">
        <f t="shared" si="5"/>
        <v>29.540835329875819</v>
      </c>
      <c r="L25" s="10" t="str">
        <f>name!D21</f>
        <v>61 Caring personal service occupations</v>
      </c>
      <c r="M25" s="11">
        <v>4.2430476204005672</v>
      </c>
      <c r="N25" s="11">
        <v>4.439973671626789</v>
      </c>
      <c r="O25" s="11">
        <v>4.2454959953934797</v>
      </c>
      <c r="P25" s="11">
        <v>5.0361653983959878</v>
      </c>
      <c r="Q25" s="11">
        <v>5.7241065950610333</v>
      </c>
      <c r="R25" s="11"/>
      <c r="S25" s="11">
        <f t="shared" si="3"/>
        <v>1.4786105996675536</v>
      </c>
      <c r="T25" s="11">
        <f>'RD T1'!T24</f>
        <v>2.2713000587416849</v>
      </c>
      <c r="U25" s="11">
        <f t="shared" si="6"/>
        <v>3.7499106584092385</v>
      </c>
      <c r="W25" s="10" t="str">
        <f>name!D21</f>
        <v>61 Caring personal service occupations</v>
      </c>
      <c r="X25" s="11">
        <v>34.306178701304844</v>
      </c>
      <c r="Y25" s="11">
        <v>36.621895702587238</v>
      </c>
      <c r="Z25" s="11">
        <v>35.463517984676812</v>
      </c>
      <c r="AA25" s="11">
        <v>36.439065846239423</v>
      </c>
      <c r="AB25" s="11">
        <v>39.407328289565072</v>
      </c>
      <c r="AC25" s="11"/>
      <c r="AD25" s="11">
        <f t="shared" si="4"/>
        <v>3.9438103048882596</v>
      </c>
      <c r="AE25" s="11">
        <f>'RD T1'!T53</f>
        <v>21.847114366578332</v>
      </c>
      <c r="AF25" s="11">
        <f t="shared" si="7"/>
        <v>25.790924671466591</v>
      </c>
    </row>
    <row r="26" spans="1:32">
      <c r="A26" s="10" t="str">
        <f>name!D22</f>
        <v>62 Leisure, travel and related personal service occupations</v>
      </c>
      <c r="B26" s="11">
        <v>11.482295485656088</v>
      </c>
      <c r="C26" s="11">
        <v>10.028377892597495</v>
      </c>
      <c r="D26" s="11">
        <v>9.1820078898329758</v>
      </c>
      <c r="E26" s="11">
        <v>8.4814204479781505</v>
      </c>
      <c r="F26" s="11">
        <v>8.4132106883947344</v>
      </c>
      <c r="G26" s="11"/>
      <c r="H26" s="11">
        <f t="shared" si="2"/>
        <v>-0.76879720143824137</v>
      </c>
      <c r="I26" s="11">
        <f>'RD T1'!E25</f>
        <v>4.3570157519509625</v>
      </c>
      <c r="J26" s="11">
        <f t="shared" si="5"/>
        <v>3.5882185505127211</v>
      </c>
      <c r="L26" s="10" t="str">
        <f>name!D22</f>
        <v>62 Leisure, travel and related personal service occupations</v>
      </c>
      <c r="M26" s="11">
        <v>3.058491608492754</v>
      </c>
      <c r="N26" s="11">
        <v>2.8665436273098517</v>
      </c>
      <c r="O26" s="11">
        <v>2.7586835265309717</v>
      </c>
      <c r="P26" s="11">
        <v>2.6410664579568981</v>
      </c>
      <c r="Q26" s="11">
        <v>2.7097380111785139</v>
      </c>
      <c r="R26" s="11"/>
      <c r="S26" s="11">
        <f t="shared" si="3"/>
        <v>-4.8945515352457836E-2</v>
      </c>
      <c r="T26" s="11">
        <f>'RD T1'!T25</f>
        <v>1.1599384990454351</v>
      </c>
      <c r="U26" s="11">
        <f t="shared" si="6"/>
        <v>1.1109929836929773</v>
      </c>
      <c r="W26" s="10" t="str">
        <f>name!D22</f>
        <v>62 Leisure, travel and related personal service occupations</v>
      </c>
      <c r="X26" s="11">
        <v>8.4238038771633352</v>
      </c>
      <c r="Y26" s="11">
        <v>7.161834265287653</v>
      </c>
      <c r="Z26" s="11">
        <v>6.4233243633020036</v>
      </c>
      <c r="AA26" s="11">
        <v>5.8403539900212591</v>
      </c>
      <c r="AB26" s="11">
        <v>5.7034726772162196</v>
      </c>
      <c r="AC26" s="11"/>
      <c r="AD26" s="11">
        <f t="shared" si="4"/>
        <v>-0.71985168608578398</v>
      </c>
      <c r="AE26" s="11">
        <f>'RD T1'!T54</f>
        <v>3.1970772529055282</v>
      </c>
      <c r="AF26" s="11">
        <f t="shared" si="7"/>
        <v>2.4772255668197443</v>
      </c>
    </row>
    <row r="27" spans="1:32">
      <c r="A27" s="10" t="str">
        <f>name!D23</f>
        <v>63 Community and civil enforcement occupations</v>
      </c>
      <c r="B27" s="11">
        <v>0.44667082132503066</v>
      </c>
      <c r="C27" s="11">
        <v>0.3674632446263803</v>
      </c>
      <c r="D27" s="11">
        <v>0.44693455623107448</v>
      </c>
      <c r="E27" s="11">
        <v>0.34088140481104534</v>
      </c>
      <c r="F27" s="11">
        <v>0.37504575772625592</v>
      </c>
      <c r="G27" s="11"/>
      <c r="H27" s="11">
        <f t="shared" si="2"/>
        <v>-7.1888798504818552E-2</v>
      </c>
      <c r="I27" s="11">
        <f>'RD T1'!E26</f>
        <v>0.17975247429427885</v>
      </c>
      <c r="J27" s="11">
        <f t="shared" si="5"/>
        <v>0.10786367578946029</v>
      </c>
      <c r="L27" s="10" t="str">
        <f>name!D23</f>
        <v>63 Community and civil enforcement occupations</v>
      </c>
      <c r="M27" s="11">
        <v>0.34745363873721236</v>
      </c>
      <c r="N27" s="11">
        <v>0.24513125617545803</v>
      </c>
      <c r="O27" s="11">
        <v>0.34512232129875436</v>
      </c>
      <c r="P27" s="11">
        <v>0.20348112052364134</v>
      </c>
      <c r="Q27" s="11">
        <v>0.23596527829199901</v>
      </c>
      <c r="R27" s="11"/>
      <c r="S27" s="11">
        <f t="shared" si="3"/>
        <v>-0.10915704300675536</v>
      </c>
      <c r="T27" s="11">
        <f>'RD T1'!T26</f>
        <v>9.1710861213524161E-2</v>
      </c>
      <c r="U27" s="11">
        <f t="shared" si="6"/>
        <v>-1.7446181793231194E-2</v>
      </c>
      <c r="W27" s="10" t="str">
        <f>name!D23</f>
        <v>63 Community and civil enforcement occupations</v>
      </c>
      <c r="X27" s="11">
        <v>9.9217182587818212E-2</v>
      </c>
      <c r="Y27" s="11">
        <v>0.12233198845092198</v>
      </c>
      <c r="Z27" s="11">
        <v>0.10181223493232026</v>
      </c>
      <c r="AA27" s="11">
        <v>0.13740028428740431</v>
      </c>
      <c r="AB27" s="11">
        <v>0.1390804794342573</v>
      </c>
      <c r="AC27" s="11"/>
      <c r="AD27" s="11">
        <f t="shared" si="4"/>
        <v>3.726824450193704E-2</v>
      </c>
      <c r="AE27" s="11">
        <f>'RD T1'!T55</f>
        <v>8.8041613080754672E-2</v>
      </c>
      <c r="AF27" s="11">
        <f t="shared" si="7"/>
        <v>0.1253098575826917</v>
      </c>
    </row>
    <row r="28" spans="1:32">
      <c r="A28" s="10" t="str">
        <f>name!D24</f>
        <v>71 Sales occupations</v>
      </c>
      <c r="B28" s="11">
        <v>34.223800198352485</v>
      </c>
      <c r="C28" s="11">
        <v>30.736255514037811</v>
      </c>
      <c r="D28" s="11">
        <v>30.25093913476638</v>
      </c>
      <c r="E28" s="11">
        <v>29.213833101714457</v>
      </c>
      <c r="F28" s="11">
        <v>27.813348952284226</v>
      </c>
      <c r="G28" s="11"/>
      <c r="H28" s="11">
        <f t="shared" si="2"/>
        <v>-2.437590182482154</v>
      </c>
      <c r="I28" s="11">
        <f>'RD T1'!E27</f>
        <v>13.114092206492909</v>
      </c>
      <c r="J28" s="11">
        <f t="shared" si="5"/>
        <v>10.676502024010755</v>
      </c>
      <c r="L28" s="10" t="str">
        <f>name!D24</f>
        <v>71 Sales occupations</v>
      </c>
      <c r="M28" s="11">
        <v>13.78021993769844</v>
      </c>
      <c r="N28" s="11">
        <v>13.05661518523562</v>
      </c>
      <c r="O28" s="11">
        <v>13.001901321449159</v>
      </c>
      <c r="P28" s="11">
        <v>12.757946718464479</v>
      </c>
      <c r="Q28" s="11">
        <v>12.429160935553112</v>
      </c>
      <c r="R28" s="11"/>
      <c r="S28" s="11">
        <f t="shared" si="3"/>
        <v>-0.57274038589604714</v>
      </c>
      <c r="T28" s="11">
        <f>'RD T1'!T27</f>
        <v>4.1335378682670898</v>
      </c>
      <c r="U28" s="11">
        <f t="shared" si="6"/>
        <v>3.5607974823710427</v>
      </c>
      <c r="W28" s="10" t="str">
        <f>name!D24</f>
        <v>71 Sales occupations</v>
      </c>
      <c r="X28" s="11">
        <v>20.443580260654084</v>
      </c>
      <c r="Y28" s="11">
        <v>17.679640328802176</v>
      </c>
      <c r="Z28" s="11">
        <v>17.249037813317205</v>
      </c>
      <c r="AA28" s="11">
        <v>16.455886383249926</v>
      </c>
      <c r="AB28" s="11">
        <v>15.384188016731123</v>
      </c>
      <c r="AC28" s="11"/>
      <c r="AD28" s="11">
        <f t="shared" si="4"/>
        <v>-1.864849796586082</v>
      </c>
      <c r="AE28" s="11">
        <f>'RD T1'!T56</f>
        <v>8.9805543382258222</v>
      </c>
      <c r="AF28" s="11">
        <f t="shared" si="7"/>
        <v>7.1157045416397402</v>
      </c>
    </row>
    <row r="29" spans="1:32">
      <c r="A29" s="10" t="str">
        <f>name!D25</f>
        <v>72 Customer service occupations</v>
      </c>
      <c r="B29" s="11">
        <v>9.0886906437377402</v>
      </c>
      <c r="C29" s="11">
        <v>8.8480017178491579</v>
      </c>
      <c r="D29" s="11">
        <v>9.088846806026746</v>
      </c>
      <c r="E29" s="11">
        <v>10.158634946145103</v>
      </c>
      <c r="F29" s="11">
        <v>11.267733851765355</v>
      </c>
      <c r="G29" s="11"/>
      <c r="H29" s="11">
        <f t="shared" si="2"/>
        <v>2.1788870457386089</v>
      </c>
      <c r="I29" s="11">
        <f>'RD T1'!E28</f>
        <v>4.6968025709030856</v>
      </c>
      <c r="J29" s="11">
        <f t="shared" si="5"/>
        <v>6.8756896166416945</v>
      </c>
      <c r="L29" s="10" t="str">
        <f>name!D25</f>
        <v>72 Customer service occupations</v>
      </c>
      <c r="M29" s="11">
        <v>3.9189141356413506</v>
      </c>
      <c r="N29" s="11">
        <v>3.2108730880265202</v>
      </c>
      <c r="O29" s="11">
        <v>3.7194792469850886</v>
      </c>
      <c r="P29" s="11">
        <v>4.6876704592253526</v>
      </c>
      <c r="Q29" s="11">
        <v>5.3492840253357752</v>
      </c>
      <c r="R29" s="11"/>
      <c r="S29" s="11">
        <f t="shared" si="3"/>
        <v>1.6298047783506866</v>
      </c>
      <c r="T29" s="11">
        <f>'RD T1'!T28</f>
        <v>1.6518113615420877</v>
      </c>
      <c r="U29" s="11">
        <f t="shared" si="6"/>
        <v>3.2816161398927743</v>
      </c>
      <c r="W29" s="10" t="str">
        <f>name!D25</f>
        <v>72 Customer service occupations</v>
      </c>
      <c r="X29" s="11">
        <v>5.1697765080963762</v>
      </c>
      <c r="Y29" s="11">
        <v>5.6371286298226373</v>
      </c>
      <c r="Z29" s="11">
        <v>5.3693675590416552</v>
      </c>
      <c r="AA29" s="11">
        <v>5.4709644869197254</v>
      </c>
      <c r="AB29" s="11">
        <v>5.9184498264295753</v>
      </c>
      <c r="AC29" s="11"/>
      <c r="AD29" s="11">
        <f t="shared" si="4"/>
        <v>0.5490822673879201</v>
      </c>
      <c r="AE29" s="11">
        <f>'RD T1'!T57</f>
        <v>3.0449912093609983</v>
      </c>
      <c r="AF29" s="11">
        <f t="shared" si="7"/>
        <v>3.5940734767489184</v>
      </c>
    </row>
    <row r="30" spans="1:32">
      <c r="A30" s="10" t="str">
        <f>name!D26</f>
        <v>81 Process, plant and machine operatives</v>
      </c>
      <c r="B30" s="11">
        <v>23.01767694669358</v>
      </c>
      <c r="C30" s="11">
        <v>21.737054143198129</v>
      </c>
      <c r="D30" s="11">
        <v>18.382917992462492</v>
      </c>
      <c r="E30" s="11">
        <v>18.988071519329377</v>
      </c>
      <c r="F30" s="11">
        <v>17.514325366127888</v>
      </c>
      <c r="G30" s="11"/>
      <c r="H30" s="11">
        <f t="shared" si="2"/>
        <v>-0.86859262633460332</v>
      </c>
      <c r="I30" s="11">
        <f>'RD T1'!E29</f>
        <v>7.4375734958308177</v>
      </c>
      <c r="J30" s="11">
        <f t="shared" si="5"/>
        <v>6.5689808694962144</v>
      </c>
      <c r="L30" s="10" t="str">
        <f>name!D26</f>
        <v>81 Process, plant and machine operatives</v>
      </c>
      <c r="M30" s="11">
        <v>18.516053173598369</v>
      </c>
      <c r="N30" s="11">
        <v>17.022290606392598</v>
      </c>
      <c r="O30" s="11">
        <v>14.308197019339588</v>
      </c>
      <c r="P30" s="11">
        <v>14.276562087567656</v>
      </c>
      <c r="Q30" s="11">
        <v>12.805010245650058</v>
      </c>
      <c r="R30" s="11"/>
      <c r="S30" s="11">
        <f t="shared" si="3"/>
        <v>-1.5031867736895297</v>
      </c>
      <c r="T30" s="11">
        <f>'RD T1'!T29</f>
        <v>5.040098817483825</v>
      </c>
      <c r="U30" s="11">
        <f t="shared" si="6"/>
        <v>3.5369120437942954</v>
      </c>
      <c r="W30" s="10" t="str">
        <f>name!D26</f>
        <v>81 Process, plant and machine operatives</v>
      </c>
      <c r="X30" s="11">
        <v>4.5016237730952078</v>
      </c>
      <c r="Y30" s="11">
        <v>4.7147635368055472</v>
      </c>
      <c r="Z30" s="11">
        <v>4.0747209731229184</v>
      </c>
      <c r="AA30" s="11">
        <v>4.7115094317617281</v>
      </c>
      <c r="AB30" s="11">
        <v>4.7093151204778412</v>
      </c>
      <c r="AC30" s="11"/>
      <c r="AD30" s="11">
        <f t="shared" si="4"/>
        <v>0.63459414735492281</v>
      </c>
      <c r="AE30" s="11">
        <f>'RD T1'!T58</f>
        <v>2.3974746783469936</v>
      </c>
      <c r="AF30" s="11">
        <f t="shared" si="7"/>
        <v>3.0320688257019164</v>
      </c>
    </row>
    <row r="31" spans="1:32">
      <c r="A31" s="10" t="str">
        <f>name!D27</f>
        <v>82 Transport and mobile machine drivers and operatives</v>
      </c>
      <c r="B31" s="11">
        <v>24.123007113083549</v>
      </c>
      <c r="C31" s="11">
        <v>24.835414702497779</v>
      </c>
      <c r="D31" s="11">
        <v>21.975456313535553</v>
      </c>
      <c r="E31" s="11">
        <v>22.740234056496391</v>
      </c>
      <c r="F31" s="11">
        <v>22.68541236648149</v>
      </c>
      <c r="G31" s="11"/>
      <c r="H31" s="11">
        <f t="shared" si="2"/>
        <v>0.70995605294593744</v>
      </c>
      <c r="I31" s="11">
        <f>'RD T1'!E30</f>
        <v>12.030849316983822</v>
      </c>
      <c r="J31" s="11">
        <f t="shared" si="5"/>
        <v>12.74080536992976</v>
      </c>
      <c r="L31" s="10" t="str">
        <f>name!D27</f>
        <v>82 Transport and mobile machine drivers and operatives</v>
      </c>
      <c r="M31" s="11">
        <v>23.025017983339353</v>
      </c>
      <c r="N31" s="11">
        <v>23.675571046795298</v>
      </c>
      <c r="O31" s="11">
        <v>21.000512062003565</v>
      </c>
      <c r="P31" s="11">
        <v>21.436484758990787</v>
      </c>
      <c r="Q31" s="11">
        <v>21.219555916449671</v>
      </c>
      <c r="R31" s="11"/>
      <c r="S31" s="11">
        <f t="shared" si="3"/>
        <v>0.21904385444610597</v>
      </c>
      <c r="T31" s="11">
        <f>'RD T1'!T30</f>
        <v>11.179594813782906</v>
      </c>
      <c r="U31" s="11">
        <f t="shared" si="6"/>
        <v>11.398638668229012</v>
      </c>
      <c r="W31" s="10" t="str">
        <f>name!D27</f>
        <v>82 Transport and mobile machine drivers and operatives</v>
      </c>
      <c r="X31" s="11">
        <v>1.097989129744207</v>
      </c>
      <c r="Y31" s="11">
        <v>1.1598436557025105</v>
      </c>
      <c r="Z31" s="11">
        <v>0.9749442515319815</v>
      </c>
      <c r="AA31" s="11">
        <v>1.3037492975056073</v>
      </c>
      <c r="AB31" s="11">
        <v>1.4658564500317817</v>
      </c>
      <c r="AC31" s="11"/>
      <c r="AD31" s="11">
        <f t="shared" si="4"/>
        <v>0.49091219849980017</v>
      </c>
      <c r="AE31" s="11">
        <f>'RD T1'!T59</f>
        <v>0.85125450320091711</v>
      </c>
      <c r="AF31" s="11">
        <f t="shared" si="7"/>
        <v>1.3421667017007173</v>
      </c>
    </row>
    <row r="32" spans="1:32">
      <c r="A32" s="10" t="str">
        <f>name!D28</f>
        <v>91 Elementary trades and related occupations</v>
      </c>
      <c r="B32" s="11">
        <v>11.487443580203085</v>
      </c>
      <c r="C32" s="11">
        <v>9.8320405541299714</v>
      </c>
      <c r="D32" s="11">
        <v>8.59789452449556</v>
      </c>
      <c r="E32" s="11">
        <v>15.010512028853473</v>
      </c>
      <c r="F32" s="11">
        <v>16.496787208058887</v>
      </c>
      <c r="G32" s="11"/>
      <c r="H32" s="11">
        <f t="shared" si="2"/>
        <v>7.8988926835633269</v>
      </c>
      <c r="I32" s="11">
        <f>'RD T1'!E31</f>
        <v>7.0499608607004038</v>
      </c>
      <c r="J32" s="11">
        <f t="shared" si="5"/>
        <v>14.948853544263731</v>
      </c>
      <c r="L32" s="10" t="str">
        <f>name!D28</f>
        <v>91 Elementary trades and related occupations</v>
      </c>
      <c r="M32" s="11">
        <v>8.6440665036647317</v>
      </c>
      <c r="N32" s="11">
        <v>7.4127368380211713</v>
      </c>
      <c r="O32" s="11">
        <v>6.6698630780719155</v>
      </c>
      <c r="P32" s="11">
        <v>8.9898182619039115</v>
      </c>
      <c r="Q32" s="11">
        <v>9.4686811693405577</v>
      </c>
      <c r="R32" s="11"/>
      <c r="S32" s="11">
        <f t="shared" si="3"/>
        <v>2.7988180912686422</v>
      </c>
      <c r="T32" s="11">
        <f>'RD T1'!T31</f>
        <v>3.0608122110648264</v>
      </c>
      <c r="U32" s="11">
        <f t="shared" si="6"/>
        <v>5.8596303023334686</v>
      </c>
      <c r="W32" s="10" t="str">
        <f>name!D28</f>
        <v>91 Elementary trades and related occupations</v>
      </c>
      <c r="X32" s="11">
        <v>2.8433770765383448</v>
      </c>
      <c r="Y32" s="11">
        <v>2.4193037161087925</v>
      </c>
      <c r="Z32" s="11">
        <v>1.9280314464236585</v>
      </c>
      <c r="AA32" s="11">
        <v>6.0206937669495684</v>
      </c>
      <c r="AB32" s="11">
        <v>7.0281060387183256</v>
      </c>
      <c r="AC32" s="11"/>
      <c r="AD32" s="11">
        <f t="shared" si="4"/>
        <v>5.1000745922946669</v>
      </c>
      <c r="AE32" s="11">
        <f>'RD T1'!T60</f>
        <v>3.9891486496355784</v>
      </c>
      <c r="AF32" s="11">
        <f t="shared" si="7"/>
        <v>9.0892232419302452</v>
      </c>
    </row>
    <row r="33" spans="1:32">
      <c r="A33" s="10" t="str">
        <f>name!D29</f>
        <v>92 Elementary administration and service occupations</v>
      </c>
      <c r="B33" s="11">
        <v>45.472494733851811</v>
      </c>
      <c r="C33" s="11">
        <v>41.766910652938115</v>
      </c>
      <c r="D33" s="11">
        <v>37.688938677596269</v>
      </c>
      <c r="E33" s="11">
        <v>33.224143449787029</v>
      </c>
      <c r="F33" s="11">
        <v>29.481164863279925</v>
      </c>
      <c r="G33" s="11"/>
      <c r="H33" s="11">
        <f t="shared" ref="H33" si="8">F33-D33</f>
        <v>-8.2077738143163437</v>
      </c>
      <c r="I33" s="11">
        <f>'RD T1'!E32</f>
        <v>15.748027002635254</v>
      </c>
      <c r="J33" s="11">
        <f>SUM(H33:I33)</f>
        <v>7.5402531883189106</v>
      </c>
      <c r="L33" s="10" t="str">
        <f>name!D29</f>
        <v>92 Elementary administration and service occupations</v>
      </c>
      <c r="M33" s="11">
        <v>23.573386766069238</v>
      </c>
      <c r="N33" s="11">
        <v>19.916820189908439</v>
      </c>
      <c r="O33" s="11">
        <v>18.746991875777951</v>
      </c>
      <c r="P33" s="11">
        <v>18.26525627312952</v>
      </c>
      <c r="Q33" s="11">
        <v>16.657311828955478</v>
      </c>
      <c r="R33" s="11"/>
      <c r="S33" s="11">
        <f t="shared" ref="S33" si="9">Q33-O33</f>
        <v>-2.0896800468224725</v>
      </c>
      <c r="T33" s="11">
        <f>'RD T1'!T32</f>
        <v>7.1751543654780026</v>
      </c>
      <c r="U33" s="11">
        <f t="shared" ref="U33" si="10">SUM(S33:T33)</f>
        <v>5.08547431865553</v>
      </c>
      <c r="W33" s="10" t="str">
        <f>name!D29</f>
        <v>92 Elementary administration and service occupations</v>
      </c>
      <c r="X33" s="11">
        <v>21.899107967782559</v>
      </c>
      <c r="Y33" s="11">
        <v>21.850090463029687</v>
      </c>
      <c r="Z33" s="11">
        <v>18.941946801818354</v>
      </c>
      <c r="AA33" s="11">
        <v>14.958887176657543</v>
      </c>
      <c r="AB33" s="11">
        <v>12.823853034324475</v>
      </c>
      <c r="AC33" s="11"/>
      <c r="AD33" s="11">
        <f t="shared" ref="AD33" si="11">AB33-Z33</f>
        <v>-6.1180937674938782</v>
      </c>
      <c r="AE33" s="11">
        <f>'RD T1'!T61</f>
        <v>8.5728726371572552</v>
      </c>
      <c r="AF33" s="11">
        <f t="shared" ref="AF33" si="12">SUM(AD33:AE33)</f>
        <v>2.454778869663377</v>
      </c>
    </row>
    <row r="34" spans="1:32">
      <c r="H34" s="11"/>
      <c r="L34" s="10"/>
      <c r="S34" s="11"/>
      <c r="W34" s="10"/>
      <c r="AD34" s="11"/>
    </row>
    <row r="35" spans="1:32">
      <c r="A35" s="208" t="str">
        <f>name!D3</f>
        <v>All occupations</v>
      </c>
      <c r="B35" s="27">
        <f>SUM(B8:B33)</f>
        <v>505.56200000000013</v>
      </c>
      <c r="C35" s="27">
        <f>SUM(C8:C33)</f>
        <v>509.9309999999997</v>
      </c>
      <c r="D35" s="27">
        <f>SUM(D8:D33)</f>
        <v>496.19399999999962</v>
      </c>
      <c r="E35" s="27">
        <f>SUM(E8:E33)</f>
        <v>508.12800000000021</v>
      </c>
      <c r="F35" s="27">
        <f>SUM(F8:F33)</f>
        <v>521.94399999999973</v>
      </c>
      <c r="G35" s="11"/>
      <c r="H35" s="27">
        <f>F35-D35</f>
        <v>25.750000000000114</v>
      </c>
      <c r="I35" s="27">
        <f>SUM(I8:I33)</f>
        <v>245.71821360686715</v>
      </c>
      <c r="J35" s="27">
        <f>SUM(J8:J33)</f>
        <v>271.46821360686704</v>
      </c>
      <c r="L35" s="208" t="str">
        <f>name!D3</f>
        <v>All occupations</v>
      </c>
      <c r="M35" s="27">
        <f>SUM(M8:M33)</f>
        <v>278.47300247517569</v>
      </c>
      <c r="N35" s="27">
        <f>SUM(N8:N33)</f>
        <v>275.90173239601114</v>
      </c>
      <c r="O35" s="27">
        <f>SUM(O8:O33)</f>
        <v>265.0994044041413</v>
      </c>
      <c r="P35" s="27">
        <f>SUM(P8:P33)</f>
        <v>269.87496646904503</v>
      </c>
      <c r="Q35" s="27">
        <f>SUM(Q8:Q33)</f>
        <v>273.44446800613349</v>
      </c>
      <c r="R35" s="11"/>
      <c r="S35" s="27">
        <f>Q35-O35</f>
        <v>8.3450636019921944</v>
      </c>
      <c r="T35" s="27">
        <f>SUM(T8:T33)</f>
        <v>108.3397982621365</v>
      </c>
      <c r="U35" s="27">
        <f>SUM(U8:U33)</f>
        <v>116.68486186412873</v>
      </c>
      <c r="W35" s="208" t="str">
        <f>name!D3</f>
        <v>All occupations</v>
      </c>
      <c r="X35" s="27">
        <f>SUM(X8:X33)</f>
        <v>227.08899752482438</v>
      </c>
      <c r="Y35" s="27">
        <f>SUM(Y8:Y33)</f>
        <v>234.02926760398873</v>
      </c>
      <c r="Z35" s="27">
        <f>SUM(Z8:Z33)</f>
        <v>231.09459559585864</v>
      </c>
      <c r="AA35" s="27">
        <f>SUM(AA8:AA33)</f>
        <v>238.25303353095489</v>
      </c>
      <c r="AB35" s="27">
        <f>SUM(AB8:AB33)</f>
        <v>248.49953199386613</v>
      </c>
      <c r="AC35" s="11"/>
      <c r="AD35" s="27">
        <f t="shared" ref="AD35" si="13">AB35-Z35</f>
        <v>17.404936398007493</v>
      </c>
      <c r="AE35" s="27">
        <f>SUM(AE8:AE33)</f>
        <v>137.37841534473071</v>
      </c>
      <c r="AF35" s="27">
        <f>SUM(AF8:AF33)</f>
        <v>154.78335174273823</v>
      </c>
    </row>
    <row r="36" spans="1:3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>
      <c r="A38" s="18" t="str">
        <f>CONCATENATE(A$1," (Continued)")</f>
        <v>Occupation Table 2  Employment Change by Occupation (SOC 2020) and Replacement Demand, 2015-2035, Black Country (Continued)</v>
      </c>
      <c r="L38" s="18" t="str">
        <f>CONCATENATE(L$1," (Continued)")</f>
        <v>Occupation Table 2.1  Males: Employment Change by Occupation (SOC 2020) and Replacement Demand, 2015-2035, Black Country (Continued)</v>
      </c>
      <c r="W38" s="18" t="str">
        <f>CONCATENATE(W$1," (Continued)")</f>
        <v>Occupation Table 2.2  Females: Employment Change by Occupation (SOC 2020) and Replacement Demand, 2015-2035, Black Country (Continued)</v>
      </c>
    </row>
    <row r="40" spans="1:32">
      <c r="F40" s="16" t="s">
        <v>121</v>
      </c>
      <c r="J40" s="16" t="s">
        <v>121</v>
      </c>
      <c r="Q40" s="16" t="s">
        <v>121</v>
      </c>
      <c r="U40" s="16" t="s">
        <v>121</v>
      </c>
      <c r="AB40" s="16" t="s">
        <v>121</v>
      </c>
      <c r="AF40" s="16" t="s">
        <v>121</v>
      </c>
    </row>
    <row r="41" spans="1:32">
      <c r="A41" s="29"/>
      <c r="B41" s="29"/>
      <c r="C41" s="29"/>
      <c r="D41" s="29"/>
      <c r="E41" s="29"/>
      <c r="F41" s="29"/>
      <c r="H41" s="81" t="str">
        <f>$H$4</f>
        <v>2020-2035</v>
      </c>
      <c r="I41" s="29"/>
      <c r="J41" s="29"/>
      <c r="L41" s="29"/>
      <c r="M41" s="29"/>
      <c r="N41" s="29"/>
      <c r="O41" s="29"/>
      <c r="P41" s="29"/>
      <c r="Q41" s="29"/>
      <c r="S41" s="81" t="str">
        <f>$H$4</f>
        <v>2020-2035</v>
      </c>
      <c r="T41" s="29"/>
      <c r="U41" s="29"/>
      <c r="W41" s="29"/>
      <c r="X41" s="29"/>
      <c r="Y41" s="29"/>
      <c r="Z41" s="29"/>
      <c r="AA41" s="29"/>
      <c r="AB41" s="29"/>
      <c r="AD41" s="81" t="str">
        <f>$H$4</f>
        <v>2020-2035</v>
      </c>
      <c r="AE41" s="29"/>
      <c r="AF41" s="29"/>
    </row>
    <row r="42" spans="1:3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>
      <c r="A43" s="32" t="s">
        <v>162</v>
      </c>
      <c r="B43" s="28">
        <f>B$6</f>
        <v>2015</v>
      </c>
      <c r="C43" s="28">
        <f>C$6</f>
        <v>2019</v>
      </c>
      <c r="D43" s="28">
        <f>D$6</f>
        <v>2020</v>
      </c>
      <c r="E43" s="28">
        <f>E$6</f>
        <v>2025</v>
      </c>
      <c r="F43" s="28">
        <f>F$6</f>
        <v>2035</v>
      </c>
      <c r="H43" s="51" t="str">
        <f t="shared" si="14"/>
        <v>Change</v>
      </c>
      <c r="I43" s="51" t="str">
        <f t="shared" si="14"/>
        <v>Demand</v>
      </c>
      <c r="J43" s="51" t="str">
        <f t="shared" si="14"/>
        <v>Requirement</v>
      </c>
      <c r="L43" s="32" t="s">
        <v>162</v>
      </c>
      <c r="M43" s="28">
        <f>M$6</f>
        <v>2015</v>
      </c>
      <c r="N43" s="28">
        <f>N$6</f>
        <v>2019</v>
      </c>
      <c r="O43" s="28">
        <f>O$6</f>
        <v>2020</v>
      </c>
      <c r="P43" s="28">
        <f>P$6</f>
        <v>2025</v>
      </c>
      <c r="Q43" s="28">
        <f>Q$6</f>
        <v>2035</v>
      </c>
      <c r="S43" s="51" t="str">
        <f t="shared" ref="S43:U43" si="17">S6</f>
        <v>Change</v>
      </c>
      <c r="T43" s="51" t="str">
        <f t="shared" si="17"/>
        <v>Demand</v>
      </c>
      <c r="U43" s="51" t="str">
        <f t="shared" si="17"/>
        <v>Requirement</v>
      </c>
      <c r="W43" s="32" t="s">
        <v>162</v>
      </c>
      <c r="X43" s="28">
        <f>X$6</f>
        <v>2015</v>
      </c>
      <c r="Y43" s="28">
        <f>Y$6</f>
        <v>2019</v>
      </c>
      <c r="Z43" s="28">
        <f>Z$6</f>
        <v>2020</v>
      </c>
      <c r="AA43" s="28">
        <f>AA$6</f>
        <v>2025</v>
      </c>
      <c r="AB43" s="28">
        <f>AB$6</f>
        <v>2035</v>
      </c>
      <c r="AD43" s="51" t="str">
        <f t="shared" ref="AD43:AF43" si="18">AD6</f>
        <v>Change</v>
      </c>
      <c r="AE43" s="51" t="str">
        <f t="shared" si="18"/>
        <v>Demand</v>
      </c>
      <c r="AF43" s="51" t="str">
        <f t="shared" si="18"/>
        <v>Requirement</v>
      </c>
    </row>
    <row r="44" spans="1:32">
      <c r="G44" s="11"/>
      <c r="R44" s="11"/>
      <c r="AC44" s="11"/>
    </row>
    <row r="45" spans="1:32">
      <c r="A45" t="str">
        <f t="shared" ref="A45:A70" si="19">A8</f>
        <v>11 Corporate managers and directors</v>
      </c>
      <c r="B45" s="368">
        <f t="shared" ref="B45:F54" si="20">B8/B$35*100</f>
        <v>5.9104097619839706</v>
      </c>
      <c r="C45" s="368">
        <f t="shared" si="20"/>
        <v>6.6030072989576656</v>
      </c>
      <c r="D45" s="368">
        <f t="shared" si="20"/>
        <v>6.9644835525859454</v>
      </c>
      <c r="E45" s="368">
        <f t="shared" si="20"/>
        <v>6.1347201436068275</v>
      </c>
      <c r="F45" s="368">
        <f t="shared" si="20"/>
        <v>6.4997342006689927</v>
      </c>
      <c r="H45" s="278">
        <f t="shared" ref="H45:H70" si="21">IF(D8&gt;0,(H8/D8)*100,0)</f>
        <v>-1.8299344463102944</v>
      </c>
      <c r="I45" s="55">
        <f t="shared" ref="I45:I70" si="22">IF(D8&gt;0,I8/D8*100,0)</f>
        <v>47.717682893408913</v>
      </c>
      <c r="J45" s="55">
        <f t="shared" ref="J45:J70" si="23">IF(D8&gt;0,(J8/D8)*100,0)</f>
        <v>45.887748447098616</v>
      </c>
      <c r="L45" t="str">
        <f t="shared" ref="L45:L70" si="24">L8</f>
        <v>11 Corporate managers and directors</v>
      </c>
      <c r="M45" s="368">
        <f t="shared" ref="M45:Q45" si="25">M8/M$35*100</f>
        <v>7.7043942740961837</v>
      </c>
      <c r="N45" s="368">
        <f t="shared" si="25"/>
        <v>8.4283528920286255</v>
      </c>
      <c r="O45" s="368">
        <f t="shared" si="25"/>
        <v>8.8804619565596106</v>
      </c>
      <c r="P45" s="368">
        <f t="shared" si="25"/>
        <v>7.5635535280342561</v>
      </c>
      <c r="Q45" s="368">
        <f t="shared" si="25"/>
        <v>7.7905765915589207</v>
      </c>
      <c r="S45" s="278">
        <f t="shared" ref="S45:S70" si="26">IF(O8&gt;0,(S8/O8)*100,0)</f>
        <v>-9.5112824619669372</v>
      </c>
      <c r="T45" s="55">
        <f t="shared" ref="T45:T70" si="27">IF(O8&gt;0,T8/O8*100,0)</f>
        <v>41.476619251849883</v>
      </c>
      <c r="U45" s="55">
        <f t="shared" ref="U45:U70" si="28">IF(O8&gt;0,(U8/O8)*100,0)</f>
        <v>31.965336789882944</v>
      </c>
      <c r="W45" t="str">
        <f t="shared" ref="W45:W70" si="29">W8</f>
        <v>11 Corporate managers and directors</v>
      </c>
      <c r="X45" s="368">
        <f t="shared" ref="X45:AB45" si="30">X8/X$35*100</f>
        <v>3.710495812268118</v>
      </c>
      <c r="Y45" s="368">
        <f t="shared" si="30"/>
        <v>4.4510712761440754</v>
      </c>
      <c r="Z45" s="368">
        <f t="shared" si="30"/>
        <v>4.7665752352799018</v>
      </c>
      <c r="AA45" s="368">
        <f t="shared" si="30"/>
        <v>4.5162460532775377</v>
      </c>
      <c r="AB45" s="368">
        <f t="shared" si="30"/>
        <v>5.0793141780454683</v>
      </c>
      <c r="AD45" s="278">
        <f t="shared" ref="AD45:AD70" si="31">IF(Z8&gt;0,(AD8/Z8)*100,0)</f>
        <v>14.586752275434989</v>
      </c>
      <c r="AE45" s="55">
        <f t="shared" ref="AE45:AE70" si="32">IF(Z8&gt;0,AE8/Z8*100,0)</f>
        <v>61.056173273627991</v>
      </c>
      <c r="AF45" s="55">
        <f t="shared" ref="AF45:AF70" si="33">IF(Z8&gt;0,(AF8/Z8)*100,0)</f>
        <v>75.64292554906298</v>
      </c>
    </row>
    <row r="46" spans="1:32">
      <c r="A46" t="str">
        <f t="shared" si="19"/>
        <v>12 Other managers and proprietors</v>
      </c>
      <c r="B46" s="368">
        <f t="shared" si="20"/>
        <v>2.4748566575650321</v>
      </c>
      <c r="C46" s="368">
        <f t="shared" si="20"/>
        <v>2.4855062469097771</v>
      </c>
      <c r="D46" s="368">
        <f t="shared" si="20"/>
        <v>2.6689194092345967</v>
      </c>
      <c r="E46" s="368">
        <f t="shared" si="20"/>
        <v>2.6892030117680585</v>
      </c>
      <c r="F46" s="368">
        <f t="shared" si="20"/>
        <v>2.9315801331549864</v>
      </c>
      <c r="H46" s="278">
        <f t="shared" si="21"/>
        <v>15.541688766579497</v>
      </c>
      <c r="I46" s="55">
        <f t="shared" si="22"/>
        <v>60.947279979603778</v>
      </c>
      <c r="J46" s="55">
        <f t="shared" si="23"/>
        <v>76.488968746183275</v>
      </c>
      <c r="L46" t="str">
        <f t="shared" si="24"/>
        <v>12 Other managers and proprietors</v>
      </c>
      <c r="M46" s="368">
        <f t="shared" ref="M46:Q46" si="34">M9/M$35*100</f>
        <v>2.7218318090507476</v>
      </c>
      <c r="N46" s="368">
        <f t="shared" si="34"/>
        <v>2.8249667497613871</v>
      </c>
      <c r="O46" s="368">
        <f t="shared" si="34"/>
        <v>2.7861750867486825</v>
      </c>
      <c r="P46" s="368">
        <f t="shared" si="34"/>
        <v>3.0835472572910572</v>
      </c>
      <c r="Q46" s="368">
        <f t="shared" si="34"/>
        <v>3.3893819761420056</v>
      </c>
      <c r="S46" s="278">
        <f t="shared" si="26"/>
        <v>25.479419472752102</v>
      </c>
      <c r="T46" s="55">
        <f t="shared" si="27"/>
        <v>59.172542535236175</v>
      </c>
      <c r="U46" s="55">
        <f t="shared" si="28"/>
        <v>84.651962007988274</v>
      </c>
      <c r="W46" t="str">
        <f t="shared" si="29"/>
        <v>12 Other managers and proprietors</v>
      </c>
      <c r="X46" s="368">
        <f t="shared" ref="X46:AB46" si="35">X9/X$35*100</f>
        <v>2.1719978105023503</v>
      </c>
      <c r="Y46" s="368">
        <f t="shared" si="35"/>
        <v>2.0853095459772137</v>
      </c>
      <c r="Z46" s="368">
        <f t="shared" si="35"/>
        <v>2.5344099448663808</v>
      </c>
      <c r="AA46" s="368">
        <f t="shared" si="35"/>
        <v>2.242519758839181</v>
      </c>
      <c r="AB46" s="368">
        <f t="shared" si="35"/>
        <v>2.4278231224138054</v>
      </c>
      <c r="AD46" s="278">
        <f t="shared" si="31"/>
        <v>3.0091883599563993</v>
      </c>
      <c r="AE46" s="55">
        <f t="shared" si="32"/>
        <v>63.18540640914874</v>
      </c>
      <c r="AF46" s="55">
        <f t="shared" si="33"/>
        <v>66.194594769105137</v>
      </c>
    </row>
    <row r="47" spans="1:32">
      <c r="A47" t="str">
        <f t="shared" si="19"/>
        <v>21 Science, research, engineering and technology professionals</v>
      </c>
      <c r="B47" s="368">
        <f t="shared" si="20"/>
        <v>4.6863821477954444</v>
      </c>
      <c r="C47" s="368">
        <f t="shared" si="20"/>
        <v>5.0050776417218721</v>
      </c>
      <c r="D47" s="368">
        <f t="shared" si="20"/>
        <v>5.3757506619860154</v>
      </c>
      <c r="E47" s="368">
        <f t="shared" si="20"/>
        <v>6.3628362571229005</v>
      </c>
      <c r="F47" s="368">
        <f t="shared" si="20"/>
        <v>6.9854520577399475</v>
      </c>
      <c r="H47" s="278">
        <f t="shared" si="21"/>
        <v>36.687185259210231</v>
      </c>
      <c r="I47" s="55">
        <f t="shared" si="22"/>
        <v>45.094998102622796</v>
      </c>
      <c r="J47" s="55">
        <f t="shared" si="23"/>
        <v>81.782183361833034</v>
      </c>
      <c r="L47" t="str">
        <f t="shared" si="24"/>
        <v>21 Science, research, engineering and technology professionals</v>
      </c>
      <c r="M47" s="368">
        <f t="shared" ref="M47:Q47" si="36">M10/M$35*100</f>
        <v>7.1770064339787059</v>
      </c>
      <c r="N47" s="368">
        <f t="shared" si="36"/>
        <v>7.8344279023080805</v>
      </c>
      <c r="O47" s="368">
        <f t="shared" si="36"/>
        <v>8.2258117182182655</v>
      </c>
      <c r="P47" s="368">
        <f t="shared" si="36"/>
        <v>9.5489414641123584</v>
      </c>
      <c r="Q47" s="368">
        <f t="shared" si="36"/>
        <v>10.349728403904622</v>
      </c>
      <c r="S47" s="278">
        <f t="shared" si="26"/>
        <v>29.780839248292651</v>
      </c>
      <c r="T47" s="55">
        <f t="shared" si="27"/>
        <v>39.032288204062461</v>
      </c>
      <c r="U47" s="55">
        <f t="shared" si="28"/>
        <v>68.813127452355118</v>
      </c>
      <c r="W47" t="str">
        <f t="shared" si="29"/>
        <v>21 Science, research, engineering and technology professionals</v>
      </c>
      <c r="X47" s="368">
        <f t="shared" ref="X47:AB47" si="37">X10/X$35*100</f>
        <v>1.632197970795715</v>
      </c>
      <c r="Y47" s="368">
        <f t="shared" si="37"/>
        <v>1.6695006583688121</v>
      </c>
      <c r="Z47" s="368">
        <f t="shared" si="37"/>
        <v>2.1063125058297238</v>
      </c>
      <c r="AA47" s="368">
        <f t="shared" si="37"/>
        <v>2.7538579236259739</v>
      </c>
      <c r="AB47" s="368">
        <f t="shared" si="37"/>
        <v>3.2834621653593148</v>
      </c>
      <c r="AD47" s="278">
        <f t="shared" si="31"/>
        <v>67.627395050679624</v>
      </c>
      <c r="AE47" s="55">
        <f t="shared" si="32"/>
        <v>72.255745025777003</v>
      </c>
      <c r="AF47" s="55">
        <f t="shared" si="33"/>
        <v>139.88314007645661</v>
      </c>
    </row>
    <row r="48" spans="1:32">
      <c r="A48" t="str">
        <f t="shared" si="19"/>
        <v>22 Health professionals</v>
      </c>
      <c r="B48" s="368">
        <f t="shared" si="20"/>
        <v>4.287262869023424</v>
      </c>
      <c r="C48" s="368">
        <f t="shared" si="20"/>
        <v>5.3567644766047708</v>
      </c>
      <c r="D48" s="368">
        <f t="shared" si="20"/>
        <v>5.4183048960920122</v>
      </c>
      <c r="E48" s="368">
        <f t="shared" si="20"/>
        <v>5.2239070503207303</v>
      </c>
      <c r="F48" s="368">
        <f t="shared" si="20"/>
        <v>5.4756109973318567</v>
      </c>
      <c r="H48" s="278">
        <f t="shared" si="21"/>
        <v>6.3020276082721578</v>
      </c>
      <c r="I48" s="55">
        <f t="shared" si="22"/>
        <v>53.43638587735061</v>
      </c>
      <c r="J48" s="55">
        <f t="shared" si="23"/>
        <v>59.738413485622765</v>
      </c>
      <c r="L48" t="str">
        <f t="shared" si="24"/>
        <v>22 Health professionals</v>
      </c>
      <c r="M48" s="368">
        <f t="shared" ref="M48:Q48" si="38">M11/M$35*100</f>
        <v>1.8251515783956915</v>
      </c>
      <c r="N48" s="368">
        <f t="shared" si="38"/>
        <v>2.3414721307892794</v>
      </c>
      <c r="O48" s="368">
        <f t="shared" si="38"/>
        <v>2.5924583474835563</v>
      </c>
      <c r="P48" s="368">
        <f t="shared" si="38"/>
        <v>2.5079455444085883</v>
      </c>
      <c r="Q48" s="368">
        <f t="shared" si="38"/>
        <v>2.6360307369601994</v>
      </c>
      <c r="S48" s="278">
        <f t="shared" si="26"/>
        <v>4.8815440258393714</v>
      </c>
      <c r="T48" s="55">
        <f t="shared" si="27"/>
        <v>38.427724743453275</v>
      </c>
      <c r="U48" s="55">
        <f t="shared" si="28"/>
        <v>43.30926876929265</v>
      </c>
      <c r="W48" t="str">
        <f t="shared" si="29"/>
        <v>22 Health professionals</v>
      </c>
      <c r="X48" s="368">
        <f t="shared" ref="X48:AB48" si="39">X11/X$35*100</f>
        <v>7.3064823424555616</v>
      </c>
      <c r="Y48" s="368">
        <f t="shared" si="39"/>
        <v>8.9115522619456229</v>
      </c>
      <c r="Z48" s="368">
        <f t="shared" si="39"/>
        <v>8.6599654595596647</v>
      </c>
      <c r="AA48" s="368">
        <f t="shared" si="39"/>
        <v>8.3003422565235656</v>
      </c>
      <c r="AB48" s="368">
        <f t="shared" si="39"/>
        <v>8.6002346432114543</v>
      </c>
      <c r="AD48" s="278">
        <f t="shared" si="31"/>
        <v>6.7898377318858758</v>
      </c>
      <c r="AE48" s="55">
        <f t="shared" si="32"/>
        <v>58.590529813646505</v>
      </c>
      <c r="AF48" s="55">
        <f t="shared" si="33"/>
        <v>65.380367545532394</v>
      </c>
    </row>
    <row r="49" spans="1:32">
      <c r="A49" t="str">
        <f t="shared" si="19"/>
        <v>23 Teaching and other educational professionals</v>
      </c>
      <c r="B49" s="368">
        <f t="shared" si="20"/>
        <v>3.8650798053792075</v>
      </c>
      <c r="C49" s="368">
        <f t="shared" si="20"/>
        <v>4.0722368036382459</v>
      </c>
      <c r="D49" s="368">
        <f t="shared" si="20"/>
        <v>4.4391141052710479</v>
      </c>
      <c r="E49" s="368">
        <f t="shared" si="20"/>
        <v>4.3236532169485624</v>
      </c>
      <c r="F49" s="368">
        <f t="shared" si="20"/>
        <v>4.6298752909662575</v>
      </c>
      <c r="H49" s="278">
        <f t="shared" si="21"/>
        <v>9.7097904924273468</v>
      </c>
      <c r="I49" s="55">
        <f t="shared" si="22"/>
        <v>52.11981484487508</v>
      </c>
      <c r="J49" s="55">
        <f t="shared" si="23"/>
        <v>61.829605337302432</v>
      </c>
      <c r="L49" t="str">
        <f t="shared" si="24"/>
        <v>23 Teaching and other educational professionals</v>
      </c>
      <c r="M49" s="368">
        <f t="shared" ref="M49:Q49" si="40">M12/M$35*100</f>
        <v>2.3601354524647897</v>
      </c>
      <c r="N49" s="368">
        <f t="shared" si="40"/>
        <v>2.4054471222736544</v>
      </c>
      <c r="O49" s="368">
        <f t="shared" si="40"/>
        <v>2.6952559021512554</v>
      </c>
      <c r="P49" s="368">
        <f t="shared" si="40"/>
        <v>2.7004376651768638</v>
      </c>
      <c r="Q49" s="368">
        <f t="shared" si="40"/>
        <v>2.860632759220469</v>
      </c>
      <c r="S49" s="278">
        <f t="shared" si="26"/>
        <v>9.4769001179459398</v>
      </c>
      <c r="T49" s="55">
        <f t="shared" si="27"/>
        <v>44.622289728236439</v>
      </c>
      <c r="U49" s="55">
        <f t="shared" si="28"/>
        <v>54.099189846182369</v>
      </c>
      <c r="W49" t="str">
        <f t="shared" si="29"/>
        <v>23 Teaching and other educational professionals</v>
      </c>
      <c r="X49" s="368">
        <f t="shared" ref="X49:AB49" si="41">X12/X$35*100</f>
        <v>5.7105517440552669</v>
      </c>
      <c r="Y49" s="368">
        <f t="shared" si="41"/>
        <v>6.0372481260958022</v>
      </c>
      <c r="Z49" s="368">
        <f t="shared" si="41"/>
        <v>6.4395753009140506</v>
      </c>
      <c r="AA49" s="368">
        <f t="shared" si="41"/>
        <v>6.1623086838452785</v>
      </c>
      <c r="AB49" s="368">
        <f t="shared" si="41"/>
        <v>6.5767183251776578</v>
      </c>
      <c r="AD49" s="278">
        <f t="shared" si="31"/>
        <v>9.8216088945332949</v>
      </c>
      <c r="AE49" s="55">
        <f t="shared" si="32"/>
        <v>55.719625614886823</v>
      </c>
      <c r="AF49" s="55">
        <f t="shared" si="33"/>
        <v>65.541234509420121</v>
      </c>
    </row>
    <row r="50" spans="1:32">
      <c r="A50" t="str">
        <f t="shared" si="19"/>
        <v>24 Business, media and public service professionals</v>
      </c>
      <c r="B50" s="368">
        <f t="shared" si="20"/>
        <v>4.5110577256912778</v>
      </c>
      <c r="C50" s="368">
        <f t="shared" si="20"/>
        <v>4.9921133568973239</v>
      </c>
      <c r="D50" s="368">
        <f t="shared" si="20"/>
        <v>5.6344412387756044</v>
      </c>
      <c r="E50" s="368">
        <f t="shared" si="20"/>
        <v>5.7302900848732152</v>
      </c>
      <c r="F50" s="368">
        <f t="shared" si="20"/>
        <v>6.2332530420324375</v>
      </c>
      <c r="H50" s="278">
        <f t="shared" si="21"/>
        <v>16.368732695614419</v>
      </c>
      <c r="I50" s="55">
        <f t="shared" si="22"/>
        <v>50.876422099688035</v>
      </c>
      <c r="J50" s="55">
        <f t="shared" si="23"/>
        <v>67.245154795302454</v>
      </c>
      <c r="L50" t="str">
        <f t="shared" si="24"/>
        <v>24 Business, media and public service professionals</v>
      </c>
      <c r="M50" s="368">
        <f t="shared" ref="M50:Q50" si="42">M13/M$35*100</f>
        <v>4.9891879221064306</v>
      </c>
      <c r="N50" s="368">
        <f t="shared" si="42"/>
        <v>5.3455505929470473</v>
      </c>
      <c r="O50" s="368">
        <f t="shared" si="42"/>
        <v>6.116675068016673</v>
      </c>
      <c r="P50" s="368">
        <f t="shared" si="42"/>
        <v>6.3271445369391106</v>
      </c>
      <c r="Q50" s="368">
        <f t="shared" si="42"/>
        <v>6.7416840562258553</v>
      </c>
      <c r="S50" s="278">
        <f t="shared" si="26"/>
        <v>13.68767242558202</v>
      </c>
      <c r="T50" s="55">
        <f t="shared" si="27"/>
        <v>45.112915106021852</v>
      </c>
      <c r="U50" s="55">
        <f t="shared" si="28"/>
        <v>58.800587531603867</v>
      </c>
      <c r="W50" t="str">
        <f t="shared" si="29"/>
        <v>24 Business, media and public service professionals</v>
      </c>
      <c r="X50" s="368">
        <f t="shared" ref="X50:AB50" si="43">X13/X$35*100</f>
        <v>3.924739793862722</v>
      </c>
      <c r="Y50" s="368">
        <f t="shared" si="43"/>
        <v>4.575439208754525</v>
      </c>
      <c r="Z50" s="368">
        <f t="shared" si="43"/>
        <v>5.0812482894307367</v>
      </c>
      <c r="AA50" s="368">
        <f t="shared" si="43"/>
        <v>5.0542186290306379</v>
      </c>
      <c r="AB50" s="368">
        <f t="shared" si="43"/>
        <v>5.6737845912130878</v>
      </c>
      <c r="AD50" s="278">
        <f t="shared" si="31"/>
        <v>20.071023544026875</v>
      </c>
      <c r="AE50" s="55">
        <f t="shared" si="32"/>
        <v>58.835280554279244</v>
      </c>
      <c r="AF50" s="55">
        <f t="shared" si="33"/>
        <v>78.906304098306123</v>
      </c>
    </row>
    <row r="51" spans="1:32">
      <c r="A51" t="str">
        <f t="shared" si="19"/>
        <v>31 Science, engineering and technology associate professionals</v>
      </c>
      <c r="B51" s="368">
        <f t="shared" si="20"/>
        <v>1.511117087036709</v>
      </c>
      <c r="C51" s="368">
        <f t="shared" si="20"/>
        <v>1.5841001516090514</v>
      </c>
      <c r="D51" s="368">
        <f t="shared" si="20"/>
        <v>1.7557448829615236</v>
      </c>
      <c r="E51" s="368">
        <f t="shared" si="20"/>
        <v>1.5772828263645349</v>
      </c>
      <c r="F51" s="368">
        <f t="shared" si="20"/>
        <v>1.6147931717855848</v>
      </c>
      <c r="H51" s="278">
        <f t="shared" si="21"/>
        <v>-3.2551414402136247</v>
      </c>
      <c r="I51" s="55">
        <f t="shared" si="22"/>
        <v>37.315004345905734</v>
      </c>
      <c r="J51" s="55">
        <f t="shared" si="23"/>
        <v>34.059862905692107</v>
      </c>
      <c r="L51" t="str">
        <f t="shared" si="24"/>
        <v>31 Science, engineering and technology associate professionals</v>
      </c>
      <c r="M51" s="368">
        <f t="shared" ref="M51:Q51" si="44">M14/M$35*100</f>
        <v>2.1493160245658598</v>
      </c>
      <c r="N51" s="368">
        <f t="shared" si="44"/>
        <v>2.3400632112244595</v>
      </c>
      <c r="O51" s="368">
        <f t="shared" si="44"/>
        <v>2.5352211581234769</v>
      </c>
      <c r="P51" s="368">
        <f t="shared" si="44"/>
        <v>2.1931247339033186</v>
      </c>
      <c r="Q51" s="368">
        <f t="shared" si="44"/>
        <v>2.1830192379912057</v>
      </c>
      <c r="S51" s="278">
        <f t="shared" si="26"/>
        <v>-11.181772491685074</v>
      </c>
      <c r="T51" s="55">
        <f t="shared" si="27"/>
        <v>31.891972533205422</v>
      </c>
      <c r="U51" s="55">
        <f t="shared" si="28"/>
        <v>20.710200041520345</v>
      </c>
      <c r="W51" t="str">
        <f t="shared" si="29"/>
        <v>31 Science, engineering and technology associate professionals</v>
      </c>
      <c r="X51" s="368">
        <f t="shared" ref="X51:AB51" si="45">X14/X$35*100</f>
        <v>0.72851125299236241</v>
      </c>
      <c r="Y51" s="368">
        <f t="shared" si="45"/>
        <v>0.69288034858760694</v>
      </c>
      <c r="Z51" s="368">
        <f t="shared" si="45"/>
        <v>0.86157124051959144</v>
      </c>
      <c r="AA51" s="368">
        <f t="shared" si="45"/>
        <v>0.87970382103502687</v>
      </c>
      <c r="AB51" s="368">
        <f t="shared" si="45"/>
        <v>0.98952730857000104</v>
      </c>
      <c r="AD51" s="278">
        <f t="shared" si="31"/>
        <v>23.501540989984417</v>
      </c>
      <c r="AE51" s="55">
        <f t="shared" si="32"/>
        <v>55.620680373850107</v>
      </c>
      <c r="AF51" s="55">
        <f t="shared" si="33"/>
        <v>79.122221363834527</v>
      </c>
    </row>
    <row r="52" spans="1:32">
      <c r="A52" t="str">
        <f t="shared" si="19"/>
        <v>32 Health and social care associate professionals</v>
      </c>
      <c r="B52" s="368">
        <f t="shared" si="20"/>
        <v>1.7867026710835934</v>
      </c>
      <c r="C52" s="368">
        <f t="shared" si="20"/>
        <v>2.1486690886469613</v>
      </c>
      <c r="D52" s="368">
        <f t="shared" si="20"/>
        <v>2.2172544822101985</v>
      </c>
      <c r="E52" s="368">
        <f t="shared" si="20"/>
        <v>3.4794675944149769</v>
      </c>
      <c r="F52" s="368">
        <f t="shared" si="20"/>
        <v>4.0341150723063137</v>
      </c>
      <c r="H52" s="278">
        <f t="shared" si="21"/>
        <v>91.383786056133303</v>
      </c>
      <c r="I52" s="55">
        <f t="shared" si="22"/>
        <v>95.216533277559961</v>
      </c>
      <c r="J52" s="55">
        <f t="shared" si="23"/>
        <v>186.60031933369328</v>
      </c>
      <c r="L52" t="str">
        <f t="shared" si="24"/>
        <v>32 Health and social care associate professionals</v>
      </c>
      <c r="M52" s="368">
        <f t="shared" ref="M52:Q52" si="46">M15/M$35*100</f>
        <v>0.75045308827908319</v>
      </c>
      <c r="N52" s="368">
        <f t="shared" si="46"/>
        <v>0.84660591018147824</v>
      </c>
      <c r="O52" s="368">
        <f t="shared" si="46"/>
        <v>0.92824853515549088</v>
      </c>
      <c r="P52" s="368">
        <f t="shared" si="46"/>
        <v>1.2170093362404659</v>
      </c>
      <c r="Q52" s="368">
        <f t="shared" si="46"/>
        <v>1.3367250231455912</v>
      </c>
      <c r="S52" s="278">
        <f t="shared" si="26"/>
        <v>48.538213114307396</v>
      </c>
      <c r="T52" s="55">
        <f t="shared" si="27"/>
        <v>65.238769181303255</v>
      </c>
      <c r="U52" s="55">
        <f t="shared" si="28"/>
        <v>113.77698229561067</v>
      </c>
      <c r="W52" t="str">
        <f t="shared" si="29"/>
        <v>32 Health and social care associate professionals</v>
      </c>
      <c r="X52" s="368">
        <f t="shared" ref="X52:AB52" si="47">X15/X$35*100</f>
        <v>3.0574270821404399</v>
      </c>
      <c r="Y52" s="368">
        <f t="shared" si="47"/>
        <v>3.6836971229848281</v>
      </c>
      <c r="Z52" s="368">
        <f t="shared" si="47"/>
        <v>3.6959334100168584</v>
      </c>
      <c r="AA52" s="368">
        <f t="shared" si="47"/>
        <v>6.042208716798771</v>
      </c>
      <c r="AB52" s="368">
        <f t="shared" si="47"/>
        <v>7.002275137155042</v>
      </c>
      <c r="AD52" s="278">
        <f t="shared" si="31"/>
        <v>103.72804582261172</v>
      </c>
      <c r="AE52" s="55">
        <f t="shared" si="32"/>
        <v>103.85344210650354</v>
      </c>
      <c r="AF52" s="55">
        <f t="shared" si="33"/>
        <v>207.5814879291153</v>
      </c>
    </row>
    <row r="53" spans="1:32">
      <c r="A53" t="str">
        <f t="shared" si="19"/>
        <v>33 Protective service occupations</v>
      </c>
      <c r="B53" s="368">
        <f t="shared" si="20"/>
        <v>0.87910548936650024</v>
      </c>
      <c r="C53" s="368">
        <f t="shared" si="20"/>
        <v>0.86815835658454088</v>
      </c>
      <c r="D53" s="368">
        <f t="shared" si="20"/>
        <v>0.9446550424104222</v>
      </c>
      <c r="E53" s="368">
        <f t="shared" si="20"/>
        <v>0.79864942585635201</v>
      </c>
      <c r="F53" s="368">
        <f t="shared" si="20"/>
        <v>0.85295076429892458</v>
      </c>
      <c r="H53" s="278">
        <f t="shared" si="21"/>
        <v>-5.0219789028269401</v>
      </c>
      <c r="I53" s="55">
        <f t="shared" si="22"/>
        <v>30.917970183878229</v>
      </c>
      <c r="J53" s="55">
        <f t="shared" si="23"/>
        <v>25.895991281051288</v>
      </c>
      <c r="L53" t="str">
        <f t="shared" si="24"/>
        <v>33 Protective service occupations</v>
      </c>
      <c r="M53" s="368">
        <f t="shared" ref="M53:Q53" si="48">M16/M$35*100</f>
        <v>1.2314120818043772</v>
      </c>
      <c r="N53" s="368">
        <f t="shared" si="48"/>
        <v>1.1869003875658115</v>
      </c>
      <c r="O53" s="368">
        <f t="shared" si="48"/>
        <v>1.2881602130704373</v>
      </c>
      <c r="P53" s="368">
        <f t="shared" si="48"/>
        <v>1.0850186022279318</v>
      </c>
      <c r="Q53" s="368">
        <f t="shared" si="48"/>
        <v>1.0754108217150296</v>
      </c>
      <c r="S53" s="278">
        <f t="shared" si="26"/>
        <v>-13.887755149673003</v>
      </c>
      <c r="T53" s="55">
        <f t="shared" si="27"/>
        <v>24.355954272605061</v>
      </c>
      <c r="U53" s="55">
        <f t="shared" si="28"/>
        <v>10.468199122932056</v>
      </c>
      <c r="W53" t="str">
        <f t="shared" si="29"/>
        <v>33 Protective service occupations</v>
      </c>
      <c r="X53" s="368">
        <f t="shared" ref="X53:AB53" si="49">X16/X$35*100</f>
        <v>0.44708158835276324</v>
      </c>
      <c r="Y53" s="368">
        <f t="shared" si="49"/>
        <v>0.49238707192639536</v>
      </c>
      <c r="Z53" s="368">
        <f t="shared" si="49"/>
        <v>0.5506042169598524</v>
      </c>
      <c r="AA53" s="368">
        <f t="shared" si="49"/>
        <v>0.47427214206824586</v>
      </c>
      <c r="AB53" s="368">
        <f t="shared" si="49"/>
        <v>0.60815967127480097</v>
      </c>
      <c r="AD53" s="278">
        <f t="shared" si="31"/>
        <v>18.771945487960576</v>
      </c>
      <c r="AE53" s="55">
        <f t="shared" si="32"/>
        <v>48.52907451323982</v>
      </c>
      <c r="AF53" s="55">
        <f t="shared" si="33"/>
        <v>67.301020001200399</v>
      </c>
    </row>
    <row r="54" spans="1:32">
      <c r="A54" t="str">
        <f t="shared" si="19"/>
        <v>34 Culture, media and sports occupations</v>
      </c>
      <c r="B54" s="368">
        <f t="shared" si="20"/>
        <v>1.4888376728998831</v>
      </c>
      <c r="C54" s="368">
        <f t="shared" si="20"/>
        <v>1.4650437268087124</v>
      </c>
      <c r="D54" s="368">
        <f t="shared" si="20"/>
        <v>1.5509264204041293</v>
      </c>
      <c r="E54" s="368">
        <f t="shared" si="20"/>
        <v>1.3035644153073389</v>
      </c>
      <c r="F54" s="368">
        <f t="shared" si="20"/>
        <v>1.3874758770500211</v>
      </c>
      <c r="H54" s="278">
        <f t="shared" si="21"/>
        <v>-5.896311193236369</v>
      </c>
      <c r="I54" s="55">
        <f t="shared" si="22"/>
        <v>41.44187228513703</v>
      </c>
      <c r="J54" s="55">
        <f t="shared" si="23"/>
        <v>35.545561091900666</v>
      </c>
      <c r="L54" t="str">
        <f t="shared" si="24"/>
        <v>34 Culture, media and sports occupations</v>
      </c>
      <c r="M54" s="368">
        <f t="shared" ref="M54:Q54" si="50">M17/M$35*100</f>
        <v>1.6220553690431669</v>
      </c>
      <c r="N54" s="368">
        <f t="shared" si="50"/>
        <v>1.6300861248066005</v>
      </c>
      <c r="O54" s="368">
        <f t="shared" si="50"/>
        <v>1.7139838317853362</v>
      </c>
      <c r="P54" s="368">
        <f t="shared" si="50"/>
        <v>1.4374549271582664</v>
      </c>
      <c r="Q54" s="368">
        <f t="shared" si="50"/>
        <v>1.5130366172527694</v>
      </c>
      <c r="S54" s="278">
        <f t="shared" si="26"/>
        <v>-8.9451449395032245</v>
      </c>
      <c r="T54" s="55">
        <f t="shared" si="27"/>
        <v>35.467230518656436</v>
      </c>
      <c r="U54" s="55">
        <f t="shared" si="28"/>
        <v>26.52208557915321</v>
      </c>
      <c r="W54" t="str">
        <f t="shared" si="29"/>
        <v>34 Culture, media and sports occupations</v>
      </c>
      <c r="X54" s="368">
        <f t="shared" ref="X54:AB54" si="51">X17/X$35*100</f>
        <v>1.3254764698817103</v>
      </c>
      <c r="Y54" s="368">
        <f t="shared" si="51"/>
        <v>1.270471979468712</v>
      </c>
      <c r="Z54" s="368">
        <f t="shared" si="51"/>
        <v>1.3638756478432952</v>
      </c>
      <c r="AA54" s="368">
        <f t="shared" si="51"/>
        <v>1.1519033981912796</v>
      </c>
      <c r="AB54" s="368">
        <f t="shared" si="51"/>
        <v>1.2493110703330252</v>
      </c>
      <c r="AD54" s="278">
        <f t="shared" si="31"/>
        <v>-1.5010503758416993</v>
      </c>
      <c r="AE54" s="55">
        <f t="shared" si="32"/>
        <v>50.055037527858616</v>
      </c>
      <c r="AF54" s="55">
        <f t="shared" si="33"/>
        <v>48.553987152016916</v>
      </c>
    </row>
    <row r="55" spans="1:32">
      <c r="A55" t="str">
        <f t="shared" si="19"/>
        <v>35 Business and public service associate professionals</v>
      </c>
      <c r="B55" s="368">
        <f t="shared" ref="B55:F64" si="52">B18/B$35*100</f>
        <v>5.4362157417430685</v>
      </c>
      <c r="C55" s="368">
        <f t="shared" si="52"/>
        <v>5.4486026151568963</v>
      </c>
      <c r="D55" s="368">
        <f t="shared" si="52"/>
        <v>5.787835414582287</v>
      </c>
      <c r="E55" s="368">
        <f t="shared" si="52"/>
        <v>5.6643894535705694</v>
      </c>
      <c r="F55" s="368">
        <f t="shared" si="52"/>
        <v>5.8113580341825504</v>
      </c>
      <c r="H55" s="278">
        <f t="shared" si="21"/>
        <v>5.6170081968964194</v>
      </c>
      <c r="I55" s="55">
        <f t="shared" si="22"/>
        <v>46.538633281183614</v>
      </c>
      <c r="J55" s="55">
        <f t="shared" si="23"/>
        <v>52.155641478080028</v>
      </c>
      <c r="L55" t="str">
        <f t="shared" si="24"/>
        <v>35 Business and public service associate professionals</v>
      </c>
      <c r="M55" s="368">
        <f t="shared" ref="M55:Q55" si="53">M18/M$35*100</f>
        <v>5.5387763380022799</v>
      </c>
      <c r="N55" s="368">
        <f t="shared" si="53"/>
        <v>5.4633520735614542</v>
      </c>
      <c r="O55" s="368">
        <f t="shared" si="53"/>
        <v>5.9226004688219174</v>
      </c>
      <c r="P55" s="368">
        <f t="shared" si="53"/>
        <v>5.7796580247189384</v>
      </c>
      <c r="Q55" s="368">
        <f t="shared" si="53"/>
        <v>5.761097383203527</v>
      </c>
      <c r="S55" s="278">
        <f t="shared" si="26"/>
        <v>0.33516505251115897</v>
      </c>
      <c r="T55" s="55">
        <f t="shared" si="27"/>
        <v>38.222246673559788</v>
      </c>
      <c r="U55" s="55">
        <f t="shared" si="28"/>
        <v>38.557411726070939</v>
      </c>
      <c r="W55" t="str">
        <f t="shared" si="29"/>
        <v>35 Business and public service associate professionals</v>
      </c>
      <c r="X55" s="368">
        <f t="shared" ref="X55:AB55" si="54">X18/X$35*100</f>
        <v>5.3104484985597944</v>
      </c>
      <c r="Y55" s="368">
        <f t="shared" si="54"/>
        <v>5.4312141869171899</v>
      </c>
      <c r="Z55" s="368">
        <f t="shared" si="54"/>
        <v>5.6332401263571219</v>
      </c>
      <c r="AA55" s="368">
        <f t="shared" si="54"/>
        <v>5.533821958531485</v>
      </c>
      <c r="AB55" s="368">
        <f t="shared" si="54"/>
        <v>5.8666639611528284</v>
      </c>
      <c r="AD55" s="278">
        <f t="shared" si="31"/>
        <v>11.987289859576974</v>
      </c>
      <c r="AE55" s="55">
        <f t="shared" si="32"/>
        <v>56.568792007617063</v>
      </c>
      <c r="AF55" s="55">
        <f t="shared" si="33"/>
        <v>68.556081867194024</v>
      </c>
    </row>
    <row r="56" spans="1:32">
      <c r="A56" t="str">
        <f t="shared" si="19"/>
        <v>41 Administrative occupations</v>
      </c>
      <c r="B56" s="368">
        <f t="shared" si="52"/>
        <v>9.7195595113275992</v>
      </c>
      <c r="C56" s="368">
        <f t="shared" si="52"/>
        <v>8.8571104416570883</v>
      </c>
      <c r="D56" s="368">
        <f t="shared" si="52"/>
        <v>9.5120188897385738</v>
      </c>
      <c r="E56" s="368">
        <f t="shared" si="52"/>
        <v>9.6303186195559434</v>
      </c>
      <c r="F56" s="368">
        <f t="shared" si="52"/>
        <v>9.2193428109587501</v>
      </c>
      <c r="H56" s="278">
        <f t="shared" si="21"/>
        <v>1.9529181805067009</v>
      </c>
      <c r="I56" s="55">
        <f t="shared" si="22"/>
        <v>51.352580102855072</v>
      </c>
      <c r="J56" s="55">
        <f t="shared" si="23"/>
        <v>53.305498283361771</v>
      </c>
      <c r="L56" t="str">
        <f t="shared" si="24"/>
        <v>41 Administrative occupations</v>
      </c>
      <c r="M56" s="368">
        <f t="shared" ref="M56:Q56" si="55">M19/M$35*100</f>
        <v>5.6070154753216253</v>
      </c>
      <c r="N56" s="368">
        <f t="shared" si="55"/>
        <v>4.9302560287983184</v>
      </c>
      <c r="O56" s="368">
        <f t="shared" si="55"/>
        <v>6.1222735824864971</v>
      </c>
      <c r="P56" s="368">
        <f t="shared" si="55"/>
        <v>6.5052151855667466</v>
      </c>
      <c r="Q56" s="368">
        <f t="shared" si="55"/>
        <v>7.1867297261397063</v>
      </c>
      <c r="S56" s="278">
        <f t="shared" si="26"/>
        <v>21.081828121904131</v>
      </c>
      <c r="T56" s="55">
        <f t="shared" si="27"/>
        <v>42.520771269829929</v>
      </c>
      <c r="U56" s="55">
        <f t="shared" si="28"/>
        <v>63.60259939173406</v>
      </c>
      <c r="W56" t="str">
        <f t="shared" si="29"/>
        <v>41 Administrative occupations</v>
      </c>
      <c r="X56" s="368">
        <f t="shared" ref="X56:AB56" si="56">X19/X$35*100</f>
        <v>14.762659344435015</v>
      </c>
      <c r="Y56" s="368">
        <f t="shared" si="56"/>
        <v>13.486556777437475</v>
      </c>
      <c r="Z56" s="368">
        <f t="shared" si="56"/>
        <v>13.400554057414112</v>
      </c>
      <c r="AA56" s="368">
        <f t="shared" si="56"/>
        <v>13.170198771178701</v>
      </c>
      <c r="AB56" s="368">
        <f t="shared" si="56"/>
        <v>11.455994120444384</v>
      </c>
      <c r="AD56" s="278">
        <f t="shared" si="31"/>
        <v>-8.0724230406423949</v>
      </c>
      <c r="AE56" s="55">
        <f t="shared" si="32"/>
        <v>55.981275487081852</v>
      </c>
      <c r="AF56" s="55">
        <f t="shared" si="33"/>
        <v>47.908852446439454</v>
      </c>
    </row>
    <row r="57" spans="1:32">
      <c r="A57" t="str">
        <f t="shared" si="19"/>
        <v>42 Secretarial and related occupations</v>
      </c>
      <c r="B57" s="368">
        <f t="shared" si="52"/>
        <v>2.1757080791684795</v>
      </c>
      <c r="C57" s="368">
        <f t="shared" si="52"/>
        <v>1.8619897729300874</v>
      </c>
      <c r="D57" s="368">
        <f t="shared" si="52"/>
        <v>1.8703034042058586</v>
      </c>
      <c r="E57" s="368">
        <f t="shared" si="52"/>
        <v>1.6862580955091164</v>
      </c>
      <c r="F57" s="368">
        <f t="shared" si="52"/>
        <v>1.036023836807539</v>
      </c>
      <c r="H57" s="278">
        <f t="shared" si="21"/>
        <v>-41.73200363129169</v>
      </c>
      <c r="I57" s="55">
        <f t="shared" si="22"/>
        <v>43.056639153148438</v>
      </c>
      <c r="J57" s="55">
        <f t="shared" si="23"/>
        <v>1.3246355218567505</v>
      </c>
      <c r="L57" t="str">
        <f t="shared" si="24"/>
        <v>42 Secretarial and related occupations</v>
      </c>
      <c r="M57" s="368">
        <f t="shared" ref="M57:Q57" si="57">M20/M$35*100</f>
        <v>0.35332839377072089</v>
      </c>
      <c r="N57" s="368">
        <f t="shared" si="57"/>
        <v>0.25314886257071834</v>
      </c>
      <c r="O57" s="368">
        <f t="shared" si="57"/>
        <v>0.2703632479027786</v>
      </c>
      <c r="P57" s="368">
        <f t="shared" si="57"/>
        <v>0.23270122486532077</v>
      </c>
      <c r="Q57" s="368">
        <f t="shared" si="57"/>
        <v>0.26389121458647824</v>
      </c>
      <c r="S57" s="278">
        <f t="shared" si="26"/>
        <v>0.67871565205659978</v>
      </c>
      <c r="T57" s="55">
        <f t="shared" si="27"/>
        <v>30.670222079902242</v>
      </c>
      <c r="U57" s="55">
        <f t="shared" si="28"/>
        <v>31.348937731958841</v>
      </c>
      <c r="W57" t="str">
        <f t="shared" si="29"/>
        <v>42 Secretarial and related occupations</v>
      </c>
      <c r="X57" s="368">
        <f t="shared" ref="X57:AB57" si="58">X20/X$35*100</f>
        <v>4.4104422502372662</v>
      </c>
      <c r="Y57" s="368">
        <f t="shared" si="58"/>
        <v>3.7586841430925331</v>
      </c>
      <c r="Z57" s="368">
        <f t="shared" si="58"/>
        <v>3.7056694863273183</v>
      </c>
      <c r="AA57" s="368">
        <f t="shared" si="58"/>
        <v>3.3327370759115946</v>
      </c>
      <c r="AB57" s="368">
        <f t="shared" si="58"/>
        <v>1.8856648498885218</v>
      </c>
      <c r="AD57" s="278">
        <f t="shared" si="31"/>
        <v>-45.281572237343575</v>
      </c>
      <c r="AE57" s="55">
        <f t="shared" si="32"/>
        <v>44.093321339341003</v>
      </c>
      <c r="AF57" s="55">
        <f t="shared" si="33"/>
        <v>-1.1882508980025732</v>
      </c>
    </row>
    <row r="58" spans="1:32">
      <c r="A58" t="str">
        <f t="shared" si="19"/>
        <v>51 Skilled agricultural and related trades</v>
      </c>
      <c r="B58" s="368">
        <f t="shared" si="52"/>
        <v>0.85673288157009675</v>
      </c>
      <c r="C58" s="368">
        <f t="shared" si="52"/>
        <v>0.74649144217236851</v>
      </c>
      <c r="D58" s="368">
        <f t="shared" si="52"/>
        <v>0.6435275486736789</v>
      </c>
      <c r="E58" s="368">
        <f t="shared" si="52"/>
        <v>0.62549796118944345</v>
      </c>
      <c r="F58" s="368">
        <f t="shared" si="52"/>
        <v>0.6772790089103351</v>
      </c>
      <c r="H58" s="278">
        <f t="shared" si="21"/>
        <v>10.706436955258068</v>
      </c>
      <c r="I58" s="55">
        <f t="shared" si="22"/>
        <v>56.216017894975366</v>
      </c>
      <c r="J58" s="55">
        <f t="shared" si="23"/>
        <v>66.922454850233436</v>
      </c>
      <c r="L58" t="str">
        <f t="shared" si="24"/>
        <v>51 Skilled agricultural and related trades</v>
      </c>
      <c r="M58" s="368">
        <f t="shared" ref="M58:Q58" si="59">M21/M$35*100</f>
        <v>1.3360610048582688</v>
      </c>
      <c r="N58" s="368">
        <f t="shared" si="59"/>
        <v>1.172491237924759</v>
      </c>
      <c r="O58" s="368">
        <f t="shared" si="59"/>
        <v>0.98829116228499481</v>
      </c>
      <c r="P58" s="368">
        <f t="shared" si="59"/>
        <v>0.94636002135907293</v>
      </c>
      <c r="Q58" s="368">
        <f t="shared" si="59"/>
        <v>1.0218373915325825</v>
      </c>
      <c r="S58" s="278">
        <f t="shared" si="26"/>
        <v>6.6491180824300482</v>
      </c>
      <c r="T58" s="55">
        <f t="shared" si="27"/>
        <v>51.358110963136284</v>
      </c>
      <c r="U58" s="55">
        <f t="shared" si="28"/>
        <v>58.007229045566334</v>
      </c>
      <c r="W58" t="str">
        <f t="shared" si="29"/>
        <v>51 Skilled agricultural and related trades</v>
      </c>
      <c r="X58" s="368">
        <f t="shared" ref="X58:AB58" si="60">X21/X$35*100</f>
        <v>0.26894596490867945</v>
      </c>
      <c r="Y58" s="368">
        <f t="shared" si="60"/>
        <v>0.24427185719585828</v>
      </c>
      <c r="Z58" s="368">
        <f t="shared" si="60"/>
        <v>0.24803310453524741</v>
      </c>
      <c r="AA58" s="368">
        <f t="shared" si="60"/>
        <v>0.26204975469171904</v>
      </c>
      <c r="AB58" s="368">
        <f t="shared" si="60"/>
        <v>0.29813308908815972</v>
      </c>
      <c r="AD58" s="278">
        <f t="shared" si="31"/>
        <v>29.25171574916267</v>
      </c>
      <c r="AE58" s="55">
        <f t="shared" si="32"/>
        <v>78.420641497311081</v>
      </c>
      <c r="AF58" s="55">
        <f t="shared" si="33"/>
        <v>107.67235724647375</v>
      </c>
    </row>
    <row r="59" spans="1:32">
      <c r="A59" t="str">
        <f t="shared" si="19"/>
        <v>52 Skilled metal, electrical and electronic trades</v>
      </c>
      <c r="B59" s="368">
        <f t="shared" si="52"/>
        <v>5.6615564138363759</v>
      </c>
      <c r="C59" s="368">
        <f t="shared" si="52"/>
        <v>5.5583279280649833</v>
      </c>
      <c r="D59" s="368">
        <f t="shared" si="52"/>
        <v>4.6830123464305675</v>
      </c>
      <c r="E59" s="368">
        <f t="shared" si="52"/>
        <v>4.4524112628022383</v>
      </c>
      <c r="F59" s="368">
        <f t="shared" si="52"/>
        <v>3.9929828376659935</v>
      </c>
      <c r="H59" s="278">
        <f t="shared" si="21"/>
        <v>-10.309893059064343</v>
      </c>
      <c r="I59" s="55">
        <f t="shared" si="22"/>
        <v>35.671787205888364</v>
      </c>
      <c r="J59" s="55">
        <f t="shared" si="23"/>
        <v>25.361894146824021</v>
      </c>
      <c r="L59" t="str">
        <f t="shared" si="24"/>
        <v>52 Skilled metal, electrical and electronic trades</v>
      </c>
      <c r="M59" s="368">
        <f t="shared" ref="M59:Q59" si="61">M22/M$35*100</f>
        <v>10.147420847399466</v>
      </c>
      <c r="N59" s="368">
        <f t="shared" si="61"/>
        <v>10.060348561081717</v>
      </c>
      <c r="O59" s="368">
        <f t="shared" si="61"/>
        <v>8.5950774999393413</v>
      </c>
      <c r="P59" s="368">
        <f t="shared" si="61"/>
        <v>8.1096646390155112</v>
      </c>
      <c r="Q59" s="368">
        <f t="shared" si="61"/>
        <v>7.3030336282312831</v>
      </c>
      <c r="S59" s="278">
        <f t="shared" si="26"/>
        <v>-12.357674392851493</v>
      </c>
      <c r="T59" s="55">
        <f t="shared" si="27"/>
        <v>34.522806598043765</v>
      </c>
      <c r="U59" s="55">
        <f t="shared" si="28"/>
        <v>22.165132205192275</v>
      </c>
      <c r="W59" t="str">
        <f t="shared" si="29"/>
        <v>52 Skilled metal, electrical and electronic trades</v>
      </c>
      <c r="X59" s="368">
        <f t="shared" ref="X59:AB59" si="62">X22/X$35*100</f>
        <v>0.16066402747423775</v>
      </c>
      <c r="Y59" s="368">
        <f t="shared" si="62"/>
        <v>0.25080675924374285</v>
      </c>
      <c r="Z59" s="368">
        <f t="shared" si="62"/>
        <v>0.19529968698334305</v>
      </c>
      <c r="AA59" s="368">
        <f t="shared" si="62"/>
        <v>0.30975201667715452</v>
      </c>
      <c r="AB59" s="368">
        <f t="shared" si="62"/>
        <v>0.35066178282494576</v>
      </c>
      <c r="AD59" s="278">
        <f t="shared" si="31"/>
        <v>93.073502592446118</v>
      </c>
      <c r="AE59" s="55">
        <f t="shared" si="32"/>
        <v>93.678721255349117</v>
      </c>
      <c r="AF59" s="55">
        <f t="shared" si="33"/>
        <v>186.75222384779525</v>
      </c>
    </row>
    <row r="60" spans="1:32">
      <c r="A60" t="str">
        <f t="shared" si="19"/>
        <v>53 Skilled construction and building trades</v>
      </c>
      <c r="B60" s="368">
        <f t="shared" si="52"/>
        <v>3.6940336830815816</v>
      </c>
      <c r="C60" s="368">
        <f t="shared" si="52"/>
        <v>4.1847930323972165</v>
      </c>
      <c r="D60" s="368">
        <f t="shared" si="52"/>
        <v>3.5215003411202326</v>
      </c>
      <c r="E60" s="368">
        <f t="shared" si="52"/>
        <v>3.30884551025121</v>
      </c>
      <c r="F60" s="368">
        <f t="shared" si="52"/>
        <v>2.7592196150446848</v>
      </c>
      <c r="H60" s="278">
        <f t="shared" si="21"/>
        <v>-17.580317915549731</v>
      </c>
      <c r="I60" s="55">
        <f t="shared" si="22"/>
        <v>38.777119328497903</v>
      </c>
      <c r="J60" s="55">
        <f t="shared" si="23"/>
        <v>21.196801412948169</v>
      </c>
      <c r="L60" t="str">
        <f t="shared" si="24"/>
        <v>53 Skilled construction and building trades</v>
      </c>
      <c r="M60" s="368">
        <f t="shared" ref="M60:Q60" si="63">M23/M$35*100</f>
        <v>6.6187799752490966</v>
      </c>
      <c r="N60" s="368">
        <f t="shared" si="63"/>
        <v>7.6505010736356711</v>
      </c>
      <c r="O60" s="368">
        <f t="shared" si="63"/>
        <v>6.4836083140088654</v>
      </c>
      <c r="P60" s="368">
        <f t="shared" si="63"/>
        <v>6.1685516153826985</v>
      </c>
      <c r="Q60" s="368">
        <f t="shared" si="63"/>
        <v>5.2023813806072488</v>
      </c>
      <c r="S60" s="278">
        <f t="shared" si="26"/>
        <v>-17.235174097201007</v>
      </c>
      <c r="T60" s="55">
        <f t="shared" si="27"/>
        <v>38.887058768912986</v>
      </c>
      <c r="U60" s="55">
        <f t="shared" si="28"/>
        <v>21.651884671711979</v>
      </c>
      <c r="W60" t="str">
        <f t="shared" si="29"/>
        <v>53 Skilled construction and building trades</v>
      </c>
      <c r="X60" s="368">
        <f t="shared" ref="X60:AB60" si="64">X23/X$35*100</f>
        <v>0.10749760984451492</v>
      </c>
      <c r="Y60" s="368">
        <f t="shared" si="64"/>
        <v>9.9001275041062722E-2</v>
      </c>
      <c r="Z60" s="368">
        <f t="shared" si="64"/>
        <v>0.12352793346256269</v>
      </c>
      <c r="AA60" s="368">
        <f t="shared" si="64"/>
        <v>6.9587324128631473E-2</v>
      </c>
      <c r="AB60" s="368">
        <f t="shared" si="64"/>
        <v>7.0807834640725417E-2</v>
      </c>
      <c r="AD60" s="278">
        <f t="shared" si="31"/>
        <v>-38.36151957530555</v>
      </c>
      <c r="AE60" s="55">
        <f t="shared" si="32"/>
        <v>32.157636202427128</v>
      </c>
      <c r="AF60" s="55">
        <f t="shared" si="33"/>
        <v>-6.2038833728784253</v>
      </c>
    </row>
    <row r="61" spans="1:32">
      <c r="A61" t="str">
        <f t="shared" si="19"/>
        <v>54 Textiles, printing and other skilled trades</v>
      </c>
      <c r="B61" s="368">
        <f t="shared" si="52"/>
        <v>1.9125455430642653</v>
      </c>
      <c r="C61" s="368">
        <f t="shared" si="52"/>
        <v>1.6563231646615328</v>
      </c>
      <c r="D61" s="368">
        <f t="shared" si="52"/>
        <v>1.678658413709418</v>
      </c>
      <c r="E61" s="368">
        <f t="shared" si="52"/>
        <v>1.6567933081965154</v>
      </c>
      <c r="F61" s="368">
        <f t="shared" si="52"/>
        <v>1.5298942046867838</v>
      </c>
      <c r="H61" s="278">
        <f t="shared" si="21"/>
        <v>-4.1324852372567147</v>
      </c>
      <c r="I61" s="55">
        <f t="shared" si="22"/>
        <v>42.042231842441112</v>
      </c>
      <c r="J61" s="55">
        <f t="shared" si="23"/>
        <v>37.909746605184395</v>
      </c>
      <c r="L61" t="str">
        <f t="shared" si="24"/>
        <v>54 Textiles, printing and other skilled trades</v>
      </c>
      <c r="M61" s="368">
        <f t="shared" ref="M61:Q61" si="65">M24/M$35*100</f>
        <v>2.2783527095403477</v>
      </c>
      <c r="N61" s="368">
        <f t="shared" si="65"/>
        <v>1.9964391414541156</v>
      </c>
      <c r="O61" s="368">
        <f t="shared" si="65"/>
        <v>1.8687488609861465</v>
      </c>
      <c r="P61" s="368">
        <f t="shared" si="65"/>
        <v>1.8768722470358965</v>
      </c>
      <c r="Q61" s="368">
        <f t="shared" si="65"/>
        <v>1.7151866803806606</v>
      </c>
      <c r="S61" s="278">
        <f t="shared" si="26"/>
        <v>-5.3281542922170066</v>
      </c>
      <c r="T61" s="55">
        <f t="shared" si="27"/>
        <v>31.788797594707578</v>
      </c>
      <c r="U61" s="55">
        <f t="shared" si="28"/>
        <v>26.460643302490571</v>
      </c>
      <c r="W61" t="str">
        <f t="shared" si="29"/>
        <v>54 Textiles, printing and other skilled trades</v>
      </c>
      <c r="X61" s="368">
        <f t="shared" ref="X61:AB61" si="66">X24/X$35*100</f>
        <v>1.4639662587931483</v>
      </c>
      <c r="Y61" s="368">
        <f t="shared" si="66"/>
        <v>1.255353712535465</v>
      </c>
      <c r="Z61" s="368">
        <f t="shared" si="66"/>
        <v>1.4605967830336983</v>
      </c>
      <c r="AA61" s="368">
        <f t="shared" si="66"/>
        <v>1.4075045778093613</v>
      </c>
      <c r="AB61" s="368">
        <f t="shared" si="66"/>
        <v>1.326001657947893</v>
      </c>
      <c r="AD61" s="278">
        <f t="shared" si="31"/>
        <v>-2.3775925934075062</v>
      </c>
      <c r="AE61" s="55">
        <f t="shared" si="32"/>
        <v>57.091275941132722</v>
      </c>
      <c r="AF61" s="55">
        <f t="shared" si="33"/>
        <v>54.713683347725215</v>
      </c>
    </row>
    <row r="62" spans="1:32">
      <c r="A62" t="str">
        <f t="shared" si="19"/>
        <v>61 Caring personal service occupations</v>
      </c>
      <c r="B62" s="368">
        <f t="shared" si="52"/>
        <v>7.6250244918932619</v>
      </c>
      <c r="C62" s="368">
        <f t="shared" si="52"/>
        <v>8.0524363833958024</v>
      </c>
      <c r="D62" s="368">
        <f t="shared" si="52"/>
        <v>8.0027194968238895</v>
      </c>
      <c r="E62" s="368">
        <f t="shared" si="52"/>
        <v>8.1623589419664704</v>
      </c>
      <c r="F62" s="368">
        <f t="shared" si="52"/>
        <v>8.646796377509105</v>
      </c>
      <c r="H62" s="278">
        <f t="shared" si="21"/>
        <v>13.655390454362021</v>
      </c>
      <c r="I62" s="55">
        <f t="shared" si="22"/>
        <v>60.737882933645494</v>
      </c>
      <c r="J62" s="55">
        <f t="shared" si="23"/>
        <v>74.393273388007515</v>
      </c>
      <c r="L62" t="str">
        <f t="shared" si="24"/>
        <v>61 Caring personal service occupations</v>
      </c>
      <c r="M62" s="368">
        <f t="shared" ref="M62:Q62" si="67">M25/M$35*100</f>
        <v>1.5236836543171939</v>
      </c>
      <c r="N62" s="368">
        <f t="shared" si="67"/>
        <v>1.6092590767983812</v>
      </c>
      <c r="O62" s="368">
        <f t="shared" si="67"/>
        <v>1.6014732303665478</v>
      </c>
      <c r="P62" s="368">
        <f t="shared" si="67"/>
        <v>1.8661106157001197</v>
      </c>
      <c r="Q62" s="368">
        <f t="shared" si="67"/>
        <v>2.0933342103423498</v>
      </c>
      <c r="S62" s="278">
        <f t="shared" si="26"/>
        <v>34.827746893929486</v>
      </c>
      <c r="T62" s="55">
        <f t="shared" si="27"/>
        <v>53.499050787143119</v>
      </c>
      <c r="U62" s="55">
        <f t="shared" si="28"/>
        <v>88.326797681072605</v>
      </c>
      <c r="W62" t="str">
        <f t="shared" si="29"/>
        <v>61 Caring personal service occupations</v>
      </c>
      <c r="X62" s="368">
        <f t="shared" ref="X62:AB62" si="68">X25/X$35*100</f>
        <v>15.106931236311722</v>
      </c>
      <c r="Y62" s="368">
        <f t="shared" si="68"/>
        <v>15.648425548447541</v>
      </c>
      <c r="Z62" s="368">
        <f t="shared" si="68"/>
        <v>15.345888073772135</v>
      </c>
      <c r="AA62" s="368">
        <f t="shared" si="68"/>
        <v>15.294271517220828</v>
      </c>
      <c r="AB62" s="368">
        <f t="shared" si="68"/>
        <v>15.858109660559757</v>
      </c>
      <c r="AD62" s="278">
        <f t="shared" si="31"/>
        <v>11.120753182446009</v>
      </c>
      <c r="AE62" s="55">
        <f t="shared" si="32"/>
        <v>61.604475833497688</v>
      </c>
      <c r="AF62" s="55">
        <f t="shared" si="33"/>
        <v>72.725229015943697</v>
      </c>
    </row>
    <row r="63" spans="1:32">
      <c r="A63" t="str">
        <f t="shared" si="19"/>
        <v>62 Leisure, travel and related personal service occupations</v>
      </c>
      <c r="B63" s="368">
        <f t="shared" si="52"/>
        <v>2.2711943313888474</v>
      </c>
      <c r="C63" s="368">
        <f t="shared" si="52"/>
        <v>1.9666146777892504</v>
      </c>
      <c r="D63" s="368">
        <f t="shared" si="52"/>
        <v>1.8504874887308156</v>
      </c>
      <c r="E63" s="368">
        <f t="shared" si="52"/>
        <v>1.6691503810020598</v>
      </c>
      <c r="F63" s="368">
        <f t="shared" si="52"/>
        <v>1.6118991095586381</v>
      </c>
      <c r="H63" s="278">
        <f t="shared" si="21"/>
        <v>-8.3728658335124351</v>
      </c>
      <c r="I63" s="55">
        <f t="shared" si="22"/>
        <v>47.451666391785444</v>
      </c>
      <c r="J63" s="55">
        <f t="shared" si="23"/>
        <v>39.078800558273016</v>
      </c>
      <c r="L63" t="str">
        <f t="shared" si="24"/>
        <v>62 Leisure, travel and related personal service occupations</v>
      </c>
      <c r="M63" s="368">
        <f t="shared" ref="M63:Q63" si="69">M26/M$35*100</f>
        <v>1.0983081236987779</v>
      </c>
      <c r="N63" s="368">
        <f t="shared" si="69"/>
        <v>1.0389726814746507</v>
      </c>
      <c r="O63" s="368">
        <f t="shared" si="69"/>
        <v>1.0406223026911774</v>
      </c>
      <c r="P63" s="368">
        <f t="shared" si="69"/>
        <v>0.97862595131061603</v>
      </c>
      <c r="Q63" s="368">
        <f t="shared" si="69"/>
        <v>0.99096464848494692</v>
      </c>
      <c r="S63" s="278">
        <f t="shared" si="26"/>
        <v>-1.7742345173607694</v>
      </c>
      <c r="T63" s="55">
        <f t="shared" si="27"/>
        <v>42.04681283264307</v>
      </c>
      <c r="U63" s="55">
        <f t="shared" si="28"/>
        <v>40.272578315282303</v>
      </c>
      <c r="W63" t="str">
        <f t="shared" si="29"/>
        <v>62 Leisure, travel and related personal service occupations</v>
      </c>
      <c r="X63" s="368">
        <f t="shared" ref="X63:AB63" si="70">X26/X$35*100</f>
        <v>3.7094724839068798</v>
      </c>
      <c r="Y63" s="368">
        <f t="shared" si="70"/>
        <v>3.0602301748884289</v>
      </c>
      <c r="Z63" s="368">
        <f t="shared" si="70"/>
        <v>2.7795216702233922</v>
      </c>
      <c r="AA63" s="368">
        <f t="shared" si="70"/>
        <v>2.4513240832513699</v>
      </c>
      <c r="AB63" s="368">
        <f t="shared" si="70"/>
        <v>2.2951643536121438</v>
      </c>
      <c r="AD63" s="278">
        <f t="shared" si="31"/>
        <v>-11.206840031284575</v>
      </c>
      <c r="AE63" s="55">
        <f t="shared" si="32"/>
        <v>49.772938000316458</v>
      </c>
      <c r="AF63" s="55">
        <f t="shared" si="33"/>
        <v>38.566097969031887</v>
      </c>
    </row>
    <row r="64" spans="1:32">
      <c r="A64" t="str">
        <f t="shared" si="19"/>
        <v>63 Community and civil enforcement occupations</v>
      </c>
      <c r="B64" s="368">
        <f t="shared" si="52"/>
        <v>8.8351343915292396E-2</v>
      </c>
      <c r="C64" s="368">
        <f t="shared" si="52"/>
        <v>7.2061366072347144E-2</v>
      </c>
      <c r="D64" s="368">
        <f t="shared" si="52"/>
        <v>9.0072543446933023E-2</v>
      </c>
      <c r="E64" s="368">
        <f t="shared" si="52"/>
        <v>6.708573524998529E-2</v>
      </c>
      <c r="F64" s="368">
        <f t="shared" si="52"/>
        <v>7.1855554949622202E-2</v>
      </c>
      <c r="H64" s="278">
        <f t="shared" si="21"/>
        <v>-16.084860188714195</v>
      </c>
      <c r="I64" s="55">
        <f t="shared" si="22"/>
        <v>40.218969821913497</v>
      </c>
      <c r="J64" s="55">
        <f t="shared" si="23"/>
        <v>24.134109633199301</v>
      </c>
      <c r="L64" t="str">
        <f t="shared" si="24"/>
        <v>63 Community and civil enforcement occupations</v>
      </c>
      <c r="M64" s="368">
        <f t="shared" ref="M64:Q64" si="71">M27/M$35*100</f>
        <v>0.12477103189498089</v>
      </c>
      <c r="N64" s="368">
        <f t="shared" si="71"/>
        <v>8.8847305903687765E-2</v>
      </c>
      <c r="O64" s="368">
        <f t="shared" si="71"/>
        <v>0.13018600402912223</v>
      </c>
      <c r="P64" s="368">
        <f t="shared" si="71"/>
        <v>7.5398293952907577E-2</v>
      </c>
      <c r="Q64" s="368">
        <f t="shared" si="71"/>
        <v>8.6293674182761751E-2</v>
      </c>
      <c r="S64" s="278">
        <f t="shared" si="26"/>
        <v>-31.628508580951447</v>
      </c>
      <c r="T64" s="55">
        <f t="shared" si="27"/>
        <v>26.573436591525141</v>
      </c>
      <c r="U64" s="55">
        <f t="shared" si="28"/>
        <v>-5.0550719894263079</v>
      </c>
      <c r="W64" t="str">
        <f t="shared" si="29"/>
        <v>63 Community and civil enforcement occupations</v>
      </c>
      <c r="X64" s="368">
        <f t="shared" ref="X64:AB64" si="72">X27/X$35*100</f>
        <v>4.3690880522281678E-2</v>
      </c>
      <c r="Y64" s="368">
        <f t="shared" si="72"/>
        <v>5.227208959946212E-2</v>
      </c>
      <c r="Z64" s="368">
        <f t="shared" si="72"/>
        <v>4.4056519223137039E-2</v>
      </c>
      <c r="AA64" s="368">
        <f t="shared" si="72"/>
        <v>5.7669899203844827E-2</v>
      </c>
      <c r="AB64" s="368">
        <f t="shared" si="72"/>
        <v>5.5968105178439656E-2</v>
      </c>
      <c r="AD64" s="278">
        <f t="shared" si="31"/>
        <v>36.604878113825045</v>
      </c>
      <c r="AE64" s="55">
        <f t="shared" si="32"/>
        <v>86.474492126884726</v>
      </c>
      <c r="AF64" s="55">
        <f t="shared" si="33"/>
        <v>123.07937024070976</v>
      </c>
    </row>
    <row r="65" spans="1:32">
      <c r="A65" t="str">
        <f t="shared" si="19"/>
        <v>71 Sales occupations</v>
      </c>
      <c r="B65" s="368">
        <f t="shared" ref="B65:F70" si="73">B28/B$35*100</f>
        <v>6.769456604403115</v>
      </c>
      <c r="C65" s="368">
        <f t="shared" si="73"/>
        <v>6.0275322571167145</v>
      </c>
      <c r="D65" s="368">
        <f t="shared" si="73"/>
        <v>6.096595108922398</v>
      </c>
      <c r="E65" s="368">
        <f t="shared" si="73"/>
        <v>5.7493059035743839</v>
      </c>
      <c r="F65" s="368">
        <f t="shared" si="73"/>
        <v>5.328799440607467</v>
      </c>
      <c r="H65" s="278">
        <f t="shared" si="21"/>
        <v>-8.0578991998324909</v>
      </c>
      <c r="I65" s="55">
        <f t="shared" si="22"/>
        <v>43.351025064280826</v>
      </c>
      <c r="J65" s="55">
        <f t="shared" si="23"/>
        <v>35.293125864448335</v>
      </c>
      <c r="L65" t="str">
        <f t="shared" si="24"/>
        <v>71 Sales occupations</v>
      </c>
      <c r="M65" s="368">
        <f t="shared" ref="M65:Q65" si="74">M28/M$35*100</f>
        <v>4.9484940425874386</v>
      </c>
      <c r="N65" s="368">
        <f t="shared" si="74"/>
        <v>4.7323425887355492</v>
      </c>
      <c r="O65" s="368">
        <f t="shared" si="74"/>
        <v>4.9045381111561817</v>
      </c>
      <c r="P65" s="368">
        <f t="shared" si="74"/>
        <v>4.7273546284730452</v>
      </c>
      <c r="Q65" s="368">
        <f t="shared" si="74"/>
        <v>4.5454058830235029</v>
      </c>
      <c r="S65" s="278">
        <f t="shared" si="26"/>
        <v>-4.4050510132022058</v>
      </c>
      <c r="T65" s="55">
        <f t="shared" si="27"/>
        <v>31.791795415705987</v>
      </c>
      <c r="U65" s="55">
        <f t="shared" si="28"/>
        <v>27.386744402503783</v>
      </c>
      <c r="W65" t="str">
        <f t="shared" si="29"/>
        <v>71 Sales occupations</v>
      </c>
      <c r="X65" s="368">
        <f t="shared" ref="X65:AB65" si="75">X28/X$35*100</f>
        <v>9.0024529957332184</v>
      </c>
      <c r="Y65" s="368">
        <f t="shared" si="75"/>
        <v>7.5544569744664063</v>
      </c>
      <c r="Z65" s="368">
        <f t="shared" si="75"/>
        <v>7.4640593687801156</v>
      </c>
      <c r="AA65" s="368">
        <f t="shared" si="75"/>
        <v>6.9068947997725711</v>
      </c>
      <c r="AB65" s="368">
        <f t="shared" si="75"/>
        <v>6.1908317868022626</v>
      </c>
      <c r="AD65" s="278">
        <f t="shared" si="31"/>
        <v>-10.811326502782174</v>
      </c>
      <c r="AE65" s="55">
        <f t="shared" si="32"/>
        <v>52.064088649004759</v>
      </c>
      <c r="AF65" s="55">
        <f t="shared" si="33"/>
        <v>41.252762146222587</v>
      </c>
    </row>
    <row r="66" spans="1:32">
      <c r="A66" t="str">
        <f t="shared" si="19"/>
        <v>72 Customer service occupations</v>
      </c>
      <c r="B66" s="368">
        <f t="shared" si="73"/>
        <v>1.7977400682285729</v>
      </c>
      <c r="C66" s="368">
        <f t="shared" si="73"/>
        <v>1.7351370514538562</v>
      </c>
      <c r="D66" s="368">
        <f t="shared" si="73"/>
        <v>1.8317123556566086</v>
      </c>
      <c r="E66" s="368">
        <f t="shared" si="73"/>
        <v>1.9992275462373847</v>
      </c>
      <c r="F66" s="368">
        <f t="shared" si="73"/>
        <v>2.158801298944975</v>
      </c>
      <c r="H66" s="278">
        <f t="shared" si="21"/>
        <v>23.973195854657881</v>
      </c>
      <c r="I66" s="55">
        <f t="shared" si="22"/>
        <v>51.676551174662457</v>
      </c>
      <c r="J66" s="55">
        <f t="shared" si="23"/>
        <v>75.649747029320338</v>
      </c>
      <c r="L66" t="str">
        <f t="shared" si="24"/>
        <v>72 Customer service occupations</v>
      </c>
      <c r="M66" s="368">
        <f t="shared" ref="M66:Q66" si="76">M29/M$35*100</f>
        <v>1.4072869185912196</v>
      </c>
      <c r="N66" s="368">
        <f t="shared" si="76"/>
        <v>1.1637741670348938</v>
      </c>
      <c r="O66" s="368">
        <f t="shared" si="76"/>
        <v>1.4030507746123717</v>
      </c>
      <c r="P66" s="368">
        <f t="shared" si="76"/>
        <v>1.7369786166376546</v>
      </c>
      <c r="Q66" s="368">
        <f t="shared" si="76"/>
        <v>1.9562597350536959</v>
      </c>
      <c r="S66" s="278">
        <f t="shared" si="26"/>
        <v>43.818090386490617</v>
      </c>
      <c r="T66" s="55">
        <f t="shared" si="27"/>
        <v>44.409748028060712</v>
      </c>
      <c r="U66" s="55">
        <f t="shared" si="28"/>
        <v>88.227838414551329</v>
      </c>
      <c r="W66" t="str">
        <f t="shared" si="29"/>
        <v>72 Customer service occupations</v>
      </c>
      <c r="X66" s="368">
        <f t="shared" ref="X66:AB66" si="77">X29/X$35*100</f>
        <v>2.2765420449448412</v>
      </c>
      <c r="Y66" s="368">
        <f t="shared" si="77"/>
        <v>2.4087280567665887</v>
      </c>
      <c r="Z66" s="368">
        <f t="shared" si="77"/>
        <v>2.3234500768817967</v>
      </c>
      <c r="AA66" s="368">
        <f t="shared" si="77"/>
        <v>2.2962832438433205</v>
      </c>
      <c r="AB66" s="368">
        <f t="shared" si="77"/>
        <v>2.381674435739245</v>
      </c>
      <c r="AD66" s="278">
        <f t="shared" si="31"/>
        <v>10.226200038462673</v>
      </c>
      <c r="AE66" s="55">
        <f t="shared" si="32"/>
        <v>56.71042587191554</v>
      </c>
      <c r="AF66" s="55">
        <f t="shared" si="33"/>
        <v>66.936625910378211</v>
      </c>
    </row>
    <row r="67" spans="1:32">
      <c r="A67" t="str">
        <f t="shared" si="19"/>
        <v>81 Process, plant and machine operatives</v>
      </c>
      <c r="B67" s="368">
        <f t="shared" si="73"/>
        <v>4.5528890515295011</v>
      </c>
      <c r="C67" s="368">
        <f t="shared" si="73"/>
        <v>4.2627442032741962</v>
      </c>
      <c r="D67" s="368">
        <f t="shared" si="73"/>
        <v>3.7047844174783462</v>
      </c>
      <c r="E67" s="368">
        <f t="shared" si="73"/>
        <v>3.7368677812144515</v>
      </c>
      <c r="F67" s="368">
        <f t="shared" si="73"/>
        <v>3.3555947316432215</v>
      </c>
      <c r="H67" s="278">
        <f t="shared" si="21"/>
        <v>-4.7249986465192881</v>
      </c>
      <c r="I67" s="55">
        <f t="shared" si="22"/>
        <v>40.459156151816757</v>
      </c>
      <c r="J67" s="55">
        <f t="shared" si="23"/>
        <v>35.734157505297468</v>
      </c>
      <c r="L67" t="str">
        <f t="shared" si="24"/>
        <v>81 Process, plant and machine operatives</v>
      </c>
      <c r="M67" s="368">
        <f t="shared" ref="M67:Q67" si="78">M30/M$35*100</f>
        <v>6.6491376216080313</v>
      </c>
      <c r="N67" s="368">
        <f t="shared" si="78"/>
        <v>6.1696932667171245</v>
      </c>
      <c r="O67" s="368">
        <f t="shared" si="78"/>
        <v>5.3972950454188453</v>
      </c>
      <c r="P67" s="368">
        <f t="shared" si="78"/>
        <v>5.2900653492828482</v>
      </c>
      <c r="Q67" s="368">
        <f t="shared" si="78"/>
        <v>4.6828558423653446</v>
      </c>
      <c r="S67" s="278">
        <f t="shared" si="26"/>
        <v>-10.505773520295788</v>
      </c>
      <c r="T67" s="55">
        <f t="shared" si="27"/>
        <v>35.225254521386631</v>
      </c>
      <c r="U67" s="55">
        <f t="shared" si="28"/>
        <v>24.719481001090841</v>
      </c>
      <c r="W67" t="str">
        <f t="shared" si="29"/>
        <v>81 Process, plant and machine operatives</v>
      </c>
      <c r="X67" s="368">
        <f t="shared" ref="X67:AB67" si="79">X30/X$35*100</f>
        <v>1.9823169868029868</v>
      </c>
      <c r="Y67" s="368">
        <f t="shared" si="79"/>
        <v>2.0146042352205309</v>
      </c>
      <c r="Z67" s="368">
        <f t="shared" si="79"/>
        <v>1.7632264236282038</v>
      </c>
      <c r="AA67" s="368">
        <f t="shared" si="79"/>
        <v>1.9775233758564454</v>
      </c>
      <c r="AB67" s="368">
        <f t="shared" si="79"/>
        <v>1.8951001970474877</v>
      </c>
      <c r="AD67" s="278">
        <f t="shared" si="31"/>
        <v>15.573928903125891</v>
      </c>
      <c r="AE67" s="55">
        <f t="shared" si="32"/>
        <v>58.837763227491337</v>
      </c>
      <c r="AF67" s="55">
        <f t="shared" si="33"/>
        <v>74.411692130617226</v>
      </c>
    </row>
    <row r="68" spans="1:32">
      <c r="A68" t="str">
        <f t="shared" si="19"/>
        <v>82 Transport and mobile machine drivers and operatives</v>
      </c>
      <c r="B68" s="368">
        <f t="shared" si="73"/>
        <v>4.7715230007562957</v>
      </c>
      <c r="C68" s="368">
        <f t="shared" si="73"/>
        <v>4.8703480867995461</v>
      </c>
      <c r="D68" s="368">
        <f t="shared" si="73"/>
        <v>4.428803313529702</v>
      </c>
      <c r="E68" s="368">
        <f t="shared" si="73"/>
        <v>4.4752963931325143</v>
      </c>
      <c r="F68" s="368">
        <f t="shared" si="73"/>
        <v>4.3463307110497489</v>
      </c>
      <c r="H68" s="278">
        <f t="shared" si="21"/>
        <v>3.2306771828380527</v>
      </c>
      <c r="I68" s="55">
        <f t="shared" si="22"/>
        <v>54.74675540445341</v>
      </c>
      <c r="J68" s="55">
        <f t="shared" si="23"/>
        <v>57.977432587291453</v>
      </c>
      <c r="L68" t="str">
        <f t="shared" si="24"/>
        <v>82 Transport and mobile machine drivers and operatives</v>
      </c>
      <c r="M68" s="368">
        <f t="shared" ref="M68:Q68" si="80">M31/M$35*100</f>
        <v>8.2683124678816604</v>
      </c>
      <c r="N68" s="368">
        <f t="shared" si="80"/>
        <v>8.5811607057301629</v>
      </c>
      <c r="O68" s="368">
        <f t="shared" si="80"/>
        <v>7.9217499975927907</v>
      </c>
      <c r="P68" s="368">
        <f t="shared" si="80"/>
        <v>7.9431171551250843</v>
      </c>
      <c r="Q68" s="368">
        <f t="shared" si="80"/>
        <v>7.7600969846549264</v>
      </c>
      <c r="S68" s="278">
        <f t="shared" si="26"/>
        <v>1.0430405401515146</v>
      </c>
      <c r="T68" s="55">
        <f t="shared" si="27"/>
        <v>53.234867705965407</v>
      </c>
      <c r="U68" s="55">
        <f t="shared" si="28"/>
        <v>54.277908246116922</v>
      </c>
      <c r="W68" t="str">
        <f t="shared" si="29"/>
        <v>82 Transport and mobile machine drivers and operatives</v>
      </c>
      <c r="X68" s="368">
        <f t="shared" ref="X68:AB68" si="81">X31/X$35*100</f>
        <v>0.4835060886752911</v>
      </c>
      <c r="Y68" s="368">
        <f t="shared" si="81"/>
        <v>0.49559769492811179</v>
      </c>
      <c r="Z68" s="368">
        <f t="shared" si="81"/>
        <v>0.42188102626033591</v>
      </c>
      <c r="AA68" s="368">
        <f t="shared" si="81"/>
        <v>0.5472120451873359</v>
      </c>
      <c r="AB68" s="368">
        <f t="shared" si="81"/>
        <v>0.58988298218121571</v>
      </c>
      <c r="AD68" s="278">
        <f t="shared" si="31"/>
        <v>50.352848147820126</v>
      </c>
      <c r="AE68" s="55">
        <f t="shared" si="32"/>
        <v>87.313146558205332</v>
      </c>
      <c r="AF68" s="55">
        <f t="shared" si="33"/>
        <v>137.66599470602549</v>
      </c>
    </row>
    <row r="69" spans="1:32">
      <c r="A69" t="str">
        <f t="shared" si="19"/>
        <v>91 Elementary trades and related occupations</v>
      </c>
      <c r="B69" s="368">
        <f t="shared" si="73"/>
        <v>2.2722126228243189</v>
      </c>
      <c r="C69" s="368">
        <f t="shared" si="73"/>
        <v>1.9281119512502627</v>
      </c>
      <c r="D69" s="368">
        <f t="shared" si="73"/>
        <v>1.7327687405521968</v>
      </c>
      <c r="E69" s="368">
        <f t="shared" si="73"/>
        <v>2.9540808671935941</v>
      </c>
      <c r="F69" s="368">
        <f t="shared" si="73"/>
        <v>3.1606431356733475</v>
      </c>
      <c r="H69" s="278">
        <f t="shared" si="21"/>
        <v>91.870081228133657</v>
      </c>
      <c r="I69" s="55">
        <f t="shared" si="22"/>
        <v>81.996363651763062</v>
      </c>
      <c r="J69" s="55">
        <f t="shared" si="23"/>
        <v>173.8664448798967</v>
      </c>
      <c r="L69" t="str">
        <f t="shared" si="24"/>
        <v>91 Elementary trades and related occupations</v>
      </c>
      <c r="M69" s="368">
        <f t="shared" ref="M69:Q70" si="82">M32/M$35*100</f>
        <v>3.1040949847320665</v>
      </c>
      <c r="N69" s="368">
        <f t="shared" si="82"/>
        <v>2.6867308058006021</v>
      </c>
      <c r="O69" s="368">
        <f t="shared" si="82"/>
        <v>2.5159856896184416</v>
      </c>
      <c r="P69" s="368">
        <f t="shared" si="82"/>
        <v>3.3311049111089202</v>
      </c>
      <c r="Q69" s="368">
        <f t="shared" si="82"/>
        <v>3.4627437294244952</v>
      </c>
      <c r="S69" s="278">
        <f t="shared" si="26"/>
        <v>41.962152123784044</v>
      </c>
      <c r="T69" s="55">
        <f t="shared" si="27"/>
        <v>45.890180581482461</v>
      </c>
      <c r="U69" s="55">
        <f t="shared" si="28"/>
        <v>87.852332705266505</v>
      </c>
      <c r="W69" t="str">
        <f t="shared" si="29"/>
        <v>91 Elementary trades and related occupations</v>
      </c>
      <c r="X69" s="368">
        <f t="shared" ref="X69:AB70" si="83">X32/X$35*100</f>
        <v>1.2520981234361737</v>
      </c>
      <c r="Y69" s="368">
        <f t="shared" si="83"/>
        <v>1.033761179051589</v>
      </c>
      <c r="Z69" s="368">
        <f t="shared" si="83"/>
        <v>0.83430399635802222</v>
      </c>
      <c r="AA69" s="368">
        <f t="shared" si="83"/>
        <v>2.5270166250233004</v>
      </c>
      <c r="AB69" s="368">
        <f t="shared" si="83"/>
        <v>2.828217012051276</v>
      </c>
      <c r="AD69" s="278">
        <f t="shared" si="31"/>
        <v>264.52237600973211</v>
      </c>
      <c r="AE69" s="55">
        <f t="shared" si="32"/>
        <v>206.90267562985679</v>
      </c>
      <c r="AF69" s="55">
        <f t="shared" si="33"/>
        <v>471.42505163958896</v>
      </c>
    </row>
    <row r="70" spans="1:32">
      <c r="A70" t="str">
        <f t="shared" si="19"/>
        <v>92 Elementary administration and service occupations</v>
      </c>
      <c r="B70" s="368">
        <f t="shared" si="73"/>
        <v>8.9944447434442854</v>
      </c>
      <c r="C70" s="368">
        <f t="shared" si="73"/>
        <v>8.1906984774289349</v>
      </c>
      <c r="D70" s="368">
        <f t="shared" si="73"/>
        <v>7.5956054844670229</v>
      </c>
      <c r="E70" s="368">
        <f t="shared" si="73"/>
        <v>6.5385382127706047</v>
      </c>
      <c r="F70" s="368">
        <f t="shared" si="73"/>
        <v>5.6483386844718861</v>
      </c>
      <c r="H70" s="278">
        <f t="shared" si="21"/>
        <v>-21.777672978611506</v>
      </c>
      <c r="I70" s="55">
        <f t="shared" si="22"/>
        <v>41.784214560534913</v>
      </c>
      <c r="J70" s="55">
        <f t="shared" si="23"/>
        <v>20.006541581923404</v>
      </c>
      <c r="L70" t="str">
        <f t="shared" si="24"/>
        <v>92 Elementary administration and service occupations</v>
      </c>
      <c r="M70" s="368">
        <f t="shared" si="82"/>
        <v>8.4652323767617919</v>
      </c>
      <c r="N70" s="368">
        <f t="shared" si="82"/>
        <v>7.2188093988917581</v>
      </c>
      <c r="O70" s="368">
        <f t="shared" si="82"/>
        <v>7.0716838907711601</v>
      </c>
      <c r="P70" s="368">
        <f t="shared" si="82"/>
        <v>6.7680439249724058</v>
      </c>
      <c r="Q70" s="368">
        <f t="shared" si="82"/>
        <v>6.0916616636698047</v>
      </c>
      <c r="S70" s="278">
        <f t="shared" si="26"/>
        <v>-11.146748559284561</v>
      </c>
      <c r="T70" s="55">
        <f t="shared" si="27"/>
        <v>38.273630313718009</v>
      </c>
      <c r="U70" s="55">
        <f t="shared" si="28"/>
        <v>27.126881754433452</v>
      </c>
      <c r="W70" t="str">
        <f t="shared" si="29"/>
        <v>92 Elementary administration and service occupations</v>
      </c>
      <c r="X70" s="368">
        <f t="shared" si="83"/>
        <v>9.6434033381069657</v>
      </c>
      <c r="Y70" s="368">
        <f t="shared" si="83"/>
        <v>9.3364777349144177</v>
      </c>
      <c r="Z70" s="368">
        <f t="shared" si="83"/>
        <v>8.1966204155393942</v>
      </c>
      <c r="AA70" s="368">
        <f t="shared" si="83"/>
        <v>6.2785715484768492</v>
      </c>
      <c r="AB70" s="368">
        <f t="shared" si="83"/>
        <v>5.1605139580870576</v>
      </c>
      <c r="AD70" s="278">
        <f t="shared" si="31"/>
        <v>-32.299181449008003</v>
      </c>
      <c r="AE70" s="55">
        <f t="shared" si="32"/>
        <v>45.258667057043432</v>
      </c>
      <c r="AF70" s="55">
        <f t="shared" si="33"/>
        <v>12.959485608035431</v>
      </c>
    </row>
    <row r="71" spans="1:32">
      <c r="H71" s="278"/>
      <c r="I71" s="55"/>
      <c r="J71" s="55"/>
      <c r="S71" s="278"/>
      <c r="T71" s="55"/>
      <c r="U71" s="55"/>
      <c r="AD71" s="278"/>
      <c r="AE71" s="55"/>
      <c r="AF71" s="55"/>
    </row>
    <row r="72" spans="1:32">
      <c r="A72" s="22" t="str">
        <f>A35</f>
        <v>All occupations</v>
      </c>
      <c r="B72" s="361">
        <f>B35/B$35*100</f>
        <v>100</v>
      </c>
      <c r="C72" s="361">
        <f>C35/C$35*100</f>
        <v>100</v>
      </c>
      <c r="D72" s="361">
        <f>D35/D$35*100</f>
        <v>100</v>
      </c>
      <c r="E72" s="361">
        <f>E35/E$35*100</f>
        <v>100</v>
      </c>
      <c r="F72" s="361">
        <f>F35/F$35*100</f>
        <v>100</v>
      </c>
      <c r="H72" s="369">
        <f>IF(D35&gt;0,(H35/D35)*100,0)</f>
        <v>5.1895024929765645</v>
      </c>
      <c r="I72" s="54">
        <f>IF(D35&gt;0,I35/D35*100,0)</f>
        <v>49.520593478935119</v>
      </c>
      <c r="J72" s="54">
        <f>IF(D35&gt;0,(J35/D35)*100,0)</f>
        <v>54.710095971911642</v>
      </c>
      <c r="L72" s="22" t="str">
        <f>L35</f>
        <v>All occupations</v>
      </c>
      <c r="M72" s="361">
        <f>M35/M$35*100</f>
        <v>100</v>
      </c>
      <c r="N72" s="361">
        <f>N35/N$35*100</f>
        <v>100</v>
      </c>
      <c r="O72" s="361">
        <f>O35/O$35*100</f>
        <v>100</v>
      </c>
      <c r="P72" s="361">
        <f>P35/P$35*100</f>
        <v>100</v>
      </c>
      <c r="Q72" s="361">
        <f>Q35/Q$35*100</f>
        <v>100</v>
      </c>
      <c r="S72" s="369">
        <f t="shared" ref="S72" si="84">IF(O35&gt;0,(S35/O35)*100,0)</f>
        <v>3.1478997928151626</v>
      </c>
      <c r="T72" s="54">
        <f t="shared" ref="T72" si="85">IF(O35&gt;0,T35/O35*100,0)</f>
        <v>40.86761285097932</v>
      </c>
      <c r="U72" s="54">
        <f t="shared" ref="U72" si="86">IF(O35&gt;0,(U35/O35)*100,0)</f>
        <v>44.015512643794501</v>
      </c>
      <c r="W72" s="22" t="str">
        <f>W35</f>
        <v>All occupations</v>
      </c>
      <c r="X72" s="361">
        <f>X35/X$35*100</f>
        <v>100</v>
      </c>
      <c r="Y72" s="361">
        <f>Y35/Y$35*100</f>
        <v>100</v>
      </c>
      <c r="Z72" s="361">
        <f>Z35/Z$35*100</f>
        <v>100</v>
      </c>
      <c r="AA72" s="361">
        <f>AA35/AA$35*100</f>
        <v>100</v>
      </c>
      <c r="AB72" s="361">
        <f>AB35/AB$35*100</f>
        <v>100</v>
      </c>
      <c r="AD72" s="369">
        <f t="shared" ref="AD72" si="87">IF(Z35&gt;0,(AD35/Z35)*100,0)</f>
        <v>7.531520308006459</v>
      </c>
      <c r="AE72" s="54">
        <f t="shared" ref="AE72" si="88">IF(Z35&gt;0,AE35/Z35*100,0)</f>
        <v>59.446831714308004</v>
      </c>
      <c r="AF72" s="54">
        <f t="shared" ref="AF72" si="89">IF(Z35&gt;0,(AF35/Z35)*100,0)</f>
        <v>66.978352022314468</v>
      </c>
    </row>
    <row r="73" spans="1:32">
      <c r="B73" s="322"/>
      <c r="C73" s="322"/>
      <c r="D73" s="322"/>
      <c r="E73" s="322"/>
      <c r="F73" s="322"/>
      <c r="M73" s="322"/>
      <c r="N73" s="322"/>
      <c r="O73" s="322"/>
      <c r="P73" s="322"/>
      <c r="Q73" s="322"/>
      <c r="X73" s="322"/>
      <c r="Y73" s="322"/>
      <c r="Z73" s="322"/>
      <c r="AA73" s="322"/>
      <c r="AB73" s="322"/>
    </row>
    <row r="74" spans="1:32">
      <c r="B74" s="322"/>
      <c r="C74" s="322"/>
      <c r="D74" s="322"/>
      <c r="E74" s="322"/>
      <c r="F74" s="322"/>
      <c r="M74" s="322"/>
      <c r="N74" s="322"/>
      <c r="O74" s="322"/>
      <c r="P74" s="322"/>
      <c r="Q74" s="322"/>
      <c r="X74" s="322"/>
      <c r="Y74" s="322"/>
      <c r="Z74" s="322"/>
      <c r="AA74" s="322"/>
      <c r="AB74" s="322"/>
    </row>
    <row r="75" spans="1:32" ht="15.75">
      <c r="A75" s="18" t="str">
        <f>CONCATENATE(A$1," (Continued)")</f>
        <v>Occupation Table 2  Employment Change by Occupation (SOC 2020) and Replacement Demand, 2015-2035, Black Country (Continued)</v>
      </c>
      <c r="B75" s="322"/>
      <c r="C75" s="322"/>
      <c r="D75" s="322"/>
      <c r="E75" s="322"/>
      <c r="F75" s="322"/>
      <c r="L75" s="18" t="str">
        <f>CONCATENATE(L$1," (Continued)")</f>
        <v>Occupation Table 2.1  Males: Employment Change by Occupation (SOC 2020) and Replacement Demand, 2015-2035, Black Country (Continued)</v>
      </c>
      <c r="M75" s="322"/>
      <c r="N75" s="322"/>
      <c r="O75" s="322"/>
      <c r="P75" s="322"/>
      <c r="Q75" s="322"/>
      <c r="W75" s="18" t="str">
        <f>CONCATENATE(W$1," (Continued)")</f>
        <v>Occupation Table 2.2  Females: Employment Change by Occupation (SOC 2020) and Replacement Demand, 2015-2035, Black Country (Continued)</v>
      </c>
      <c r="X75" s="322"/>
      <c r="Y75" s="322"/>
      <c r="Z75" s="322"/>
      <c r="AA75" s="322"/>
      <c r="AB75" s="322"/>
    </row>
    <row r="77" spans="1:32">
      <c r="F77" s="16" t="s">
        <v>159</v>
      </c>
      <c r="J77" s="16" t="s">
        <v>159</v>
      </c>
      <c r="Q77" s="16" t="s">
        <v>159</v>
      </c>
      <c r="U77" s="16" t="s">
        <v>159</v>
      </c>
      <c r="AB77" s="16" t="s">
        <v>159</v>
      </c>
      <c r="AF77" s="16" t="s">
        <v>159</v>
      </c>
    </row>
    <row r="78" spans="1:32">
      <c r="A78" s="29"/>
      <c r="B78" s="29"/>
      <c r="C78" s="29"/>
      <c r="D78" s="29"/>
      <c r="E78" s="29"/>
      <c r="F78" s="29"/>
      <c r="H78" s="81" t="str">
        <f>$H$4</f>
        <v>2020-2035</v>
      </c>
      <c r="I78" s="29"/>
      <c r="J78" s="29"/>
      <c r="L78" s="29"/>
      <c r="M78" s="29"/>
      <c r="N78" s="29"/>
      <c r="O78" s="29"/>
      <c r="P78" s="29"/>
      <c r="Q78" s="29"/>
      <c r="S78" s="81" t="str">
        <f>$H$4</f>
        <v>2020-2035</v>
      </c>
      <c r="T78" s="29"/>
      <c r="U78" s="29"/>
      <c r="W78" s="29"/>
      <c r="X78" s="29"/>
      <c r="Y78" s="29"/>
      <c r="Z78" s="29"/>
      <c r="AA78" s="29"/>
      <c r="AB78" s="29"/>
      <c r="AD78" s="81" t="str">
        <f>$H$4</f>
        <v>2020-2035</v>
      </c>
      <c r="AE78" s="29"/>
      <c r="AF78" s="29"/>
    </row>
    <row r="79" spans="1:3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>
      <c r="A80" s="32" t="s">
        <v>160</v>
      </c>
      <c r="B80" s="52" t="str">
        <f>CONCATENATE(B$6,"-",C$6)</f>
        <v>2015-2019</v>
      </c>
      <c r="C80" s="52" t="str">
        <f>CONCATENATE(C$6,"-",D$6)</f>
        <v>2019-2020</v>
      </c>
      <c r="D80" s="52" t="str">
        <f>CONCATENATE(D$6,"-",E$6)</f>
        <v>2020-2025</v>
      </c>
      <c r="E80" s="52" t="str">
        <f>CONCATENATE(E$6,"-",F$6)</f>
        <v>2025-2035</v>
      </c>
      <c r="F80" s="52" t="str">
        <f>CONCATENATE(D$6,"-",F$6)</f>
        <v>2020-2035</v>
      </c>
      <c r="H80" s="51" t="str">
        <f t="shared" si="90"/>
        <v>Change</v>
      </c>
      <c r="I80" s="51" t="str">
        <f t="shared" si="90"/>
        <v>Demand</v>
      </c>
      <c r="J80" s="51" t="str">
        <f t="shared" si="90"/>
        <v>Requirement</v>
      </c>
      <c r="L80" s="32" t="s">
        <v>160</v>
      </c>
      <c r="M80" s="52" t="str">
        <f>CONCATENATE(M$6,"-",N$6)</f>
        <v>2015-2019</v>
      </c>
      <c r="N80" s="52" t="str">
        <f>CONCATENATE(N$6,"-",O$6)</f>
        <v>2019-2020</v>
      </c>
      <c r="O80" s="52" t="str">
        <f>CONCATENATE(O$6,"-",P$6)</f>
        <v>2020-2025</v>
      </c>
      <c r="P80" s="52" t="str">
        <f>CONCATENATE(P$6,"-",Q$6)</f>
        <v>2025-2035</v>
      </c>
      <c r="Q80" s="52" t="str">
        <f>CONCATENATE(O$6,"-",Q$6)</f>
        <v>2020-2035</v>
      </c>
      <c r="S80" s="51" t="str">
        <f t="shared" ref="S80:U80" si="93">S43</f>
        <v>Change</v>
      </c>
      <c r="T80" s="51" t="str">
        <f t="shared" si="93"/>
        <v>Demand</v>
      </c>
      <c r="U80" s="51" t="str">
        <f t="shared" si="93"/>
        <v>Requirement</v>
      </c>
      <c r="W80" s="32" t="s">
        <v>160</v>
      </c>
      <c r="X80" s="52" t="str">
        <f>CONCATENATE(X$6,"-",Y$6)</f>
        <v>2015-2019</v>
      </c>
      <c r="Y80" s="52" t="str">
        <f>CONCATENATE(Y$6,"-",Z$6)</f>
        <v>2019-2020</v>
      </c>
      <c r="Z80" s="52" t="str">
        <f>CONCATENATE(Z$6,"-",AA$6)</f>
        <v>2020-2025</v>
      </c>
      <c r="AA80" s="52" t="str">
        <f>CONCATENATE(AA$6,"-",AB$6)</f>
        <v>2025-2035</v>
      </c>
      <c r="AB80" s="52" t="str">
        <f>CONCATENATE(Z$6,"-",AB$6)</f>
        <v>2020-2035</v>
      </c>
      <c r="AD80" s="51" t="str">
        <f t="shared" ref="AD80:AF80" si="94">AD43</f>
        <v>Change</v>
      </c>
      <c r="AE80" s="51" t="str">
        <f t="shared" si="94"/>
        <v>Demand</v>
      </c>
      <c r="AF80" s="51" t="str">
        <f t="shared" si="94"/>
        <v>Requirement</v>
      </c>
    </row>
    <row r="82" spans="1:32">
      <c r="A82" t="str">
        <f t="shared" ref="A82:A107" si="95">A8</f>
        <v>11 Corporate managers and directors</v>
      </c>
      <c r="B82" s="322">
        <f>IF(AND(C$6-B$6 &lt;&gt; 0,B8&lt;&gt;0,C8&lt;&gt;0),(EXP(LN(C8/B8)/(C$6-B$6))-1)*100,0)</f>
        <v>3.0303782938927437</v>
      </c>
      <c r="C82" s="322">
        <f t="shared" ref="B82:E107" si="96">IF(AND(D$6-C$6 &lt;&gt; 0,C8&lt;&gt;0,D8&lt;&gt;0),(EXP(LN(D8/C8)/(D$6-C$6))-1)*100,0)</f>
        <v>2.6330496026515826</v>
      </c>
      <c r="D82" s="322">
        <f t="shared" si="96"/>
        <v>-2.040740970542354</v>
      </c>
      <c r="E82" s="322">
        <f t="shared" si="96"/>
        <v>0.8498281222134807</v>
      </c>
      <c r="F82" s="322">
        <f t="shared" ref="F82:F107" si="97">IF(AND(F$6-D$6 &lt;&gt; 0,D8&lt;&gt;0,F8&lt;&gt;0),(EXP(LN(F8/D8)/(F$6-D$6))-1)*100,0)</f>
        <v>-0.12304988831006725</v>
      </c>
      <c r="H82" s="322">
        <f t="shared" ref="H82:H107" si="98">IF($F$6-$D$6 &lt;&gt; 0,(EXP(LN(1+(H45/100))/($F$6-$D$6))-1)*100,0)</f>
        <v>-0.12304988831006725</v>
      </c>
      <c r="I82" s="322">
        <f t="shared" ref="I82:I107" si="99">IF(D8&gt;0,((1+(I8/D8))^(1/($F$6-$D$6))-1)*100,0)</f>
        <v>2.6350029446394529</v>
      </c>
      <c r="J82" s="322">
        <f t="shared" ref="J82:J107" si="100">IF($F$6-$D$6 &lt;&gt; 0,(EXP(LN(1+(J45/100))/($F$6-$D$6))-1)*100,0)</f>
        <v>2.5497457843286941</v>
      </c>
      <c r="L82" t="str">
        <f t="shared" ref="L82:L107" si="101">L8</f>
        <v>11 Corporate managers and directors</v>
      </c>
      <c r="M82" s="322">
        <f t="shared" ref="M82:P107" si="102">IF(AND(N$6-M$6 &lt;&gt; 0,M8&lt;&gt;0,N8&lt;&gt;0),(EXP(LN(N8/M8)/(N$6-M$6))-1)*100,0)</f>
        <v>2.0337586830210475</v>
      </c>
      <c r="N82" s="322">
        <f t="shared" si="102"/>
        <v>1.2388426289502208</v>
      </c>
      <c r="O82" s="322">
        <f t="shared" si="102"/>
        <v>-2.8128525681442751</v>
      </c>
      <c r="P82" s="322">
        <f t="shared" si="102"/>
        <v>0.42804897886026261</v>
      </c>
      <c r="Q82" s="322">
        <f t="shared" ref="Q82:Q107" si="103">IF(AND(Q$6-O$6 &lt;&gt; 0,O8&lt;&gt;0,Q8&lt;&gt;0),(EXP(LN(Q8/O8)/(Q$6-O$6))-1)*100,0)</f>
        <v>-0.66408521726293301</v>
      </c>
      <c r="S82" s="322">
        <f t="shared" ref="S82:S107" si="104">IF($F$6-$D$6 &lt;&gt; 0,(EXP(LN(1+(S45/100))/($F$6-$D$6))-1)*100,0)</f>
        <v>-0.66408521726293301</v>
      </c>
      <c r="T82" s="322">
        <f t="shared" ref="T82:T107" si="105">IF(O8&gt;0,((1+(T8/O8))^(1/($F$6-$D$6))-1)*100,0)</f>
        <v>2.3400547289927021</v>
      </c>
      <c r="U82" s="322">
        <f t="shared" ref="U82:U107" si="106">IF($F$6-$D$6 &lt;&gt; 0,(EXP(LN(1+(U45/100))/($F$6-$D$6))-1)*100,0)</f>
        <v>1.8663295734040686</v>
      </c>
      <c r="W82" t="str">
        <f t="shared" ref="W82:W107" si="107">W8</f>
        <v>11 Corporate managers and directors</v>
      </c>
      <c r="X82" s="322">
        <f t="shared" ref="X82:AA107" si="108">IF(AND(Y$6-X$6 &lt;&gt; 0,X8&lt;&gt;0,Y8&lt;&gt;0),(EXP(LN(Y8/X8)/(Y$6-X$6))-1)*100,0)</f>
        <v>5.4451650280111119</v>
      </c>
      <c r="Y82" s="322">
        <f t="shared" si="108"/>
        <v>5.7454084687452056</v>
      </c>
      <c r="Z82" s="322">
        <f t="shared" si="108"/>
        <v>-0.46771865075052599</v>
      </c>
      <c r="AA82" s="322">
        <f t="shared" si="108"/>
        <v>1.6088326162791988</v>
      </c>
      <c r="AB82" s="322">
        <f t="shared" ref="AB82:AB107" si="109">IF(AND(AB$6-Z$6 &lt;&gt; 0,Z8&lt;&gt;0,AB8&lt;&gt;0),(EXP(LN(AB8/Z8)/(AB$6-Z$6))-1)*100,0)</f>
        <v>0.91187926170008815</v>
      </c>
      <c r="AD82" s="322">
        <f t="shared" ref="AD82:AD107" si="110">IF($F$6-$D$6 &lt;&gt; 0,(EXP(LN(1+(AD45/100))/($F$6-$D$6))-1)*100,0)</f>
        <v>0.91187926170008815</v>
      </c>
      <c r="AE82" s="322">
        <f t="shared" ref="AE82:AE107" si="111">IF(Z8&gt;0,((1+(AE8/Z8))^(1/($F$6-$D$6))-1)*100,0)</f>
        <v>3.228232601387071</v>
      </c>
      <c r="AF82" s="322">
        <f t="shared" ref="AF82:AF107" si="112">IF($F$6-$D$6 &lt;&gt; 0,(EXP(LN(1+(AF45/100))/($F$6-$D$6))-1)*100,0)</f>
        <v>3.826618735345777</v>
      </c>
    </row>
    <row r="83" spans="1:32">
      <c r="A83" t="str">
        <f t="shared" si="95"/>
        <v>12 Other managers and proprietors</v>
      </c>
      <c r="B83" s="322">
        <f t="shared" si="96"/>
        <v>0.3229860382378158</v>
      </c>
      <c r="C83" s="322">
        <f t="shared" si="96"/>
        <v>4.4866234330475985</v>
      </c>
      <c r="D83" s="322">
        <f t="shared" si="96"/>
        <v>0.62872023571027835</v>
      </c>
      <c r="E83" s="322">
        <f t="shared" si="96"/>
        <v>1.1376588600769955</v>
      </c>
      <c r="F83" s="322">
        <f t="shared" si="97"/>
        <v>0.96772729272256441</v>
      </c>
      <c r="H83" s="322">
        <f t="shared" si="98"/>
        <v>0.96772729272256441</v>
      </c>
      <c r="I83" s="322">
        <f t="shared" si="99"/>
        <v>3.2235781547020004</v>
      </c>
      <c r="J83" s="322">
        <f t="shared" si="100"/>
        <v>3.8598850754368419</v>
      </c>
      <c r="L83" t="str">
        <f t="shared" si="101"/>
        <v>12 Other managers and proprietors</v>
      </c>
      <c r="M83" s="322">
        <f t="shared" si="102"/>
        <v>0.70031900291744886</v>
      </c>
      <c r="N83" s="322">
        <f t="shared" si="102"/>
        <v>-5.2346897767568512</v>
      </c>
      <c r="O83" s="322">
        <f t="shared" si="102"/>
        <v>2.4139721530451075</v>
      </c>
      <c r="P83" s="322">
        <f t="shared" si="102"/>
        <v>1.0828887557584155</v>
      </c>
      <c r="Q83" s="322">
        <f t="shared" si="103"/>
        <v>1.5246497874580989</v>
      </c>
      <c r="S83" s="322">
        <f t="shared" si="104"/>
        <v>1.5246497874580989</v>
      </c>
      <c r="T83" s="322">
        <f t="shared" si="105"/>
        <v>3.1473029935089158</v>
      </c>
      <c r="U83" s="322">
        <f t="shared" si="106"/>
        <v>4.1734214898447197</v>
      </c>
      <c r="W83" t="str">
        <f t="shared" si="107"/>
        <v>12 Other managers and proprietors</v>
      </c>
      <c r="X83" s="322">
        <f t="shared" si="108"/>
        <v>-0.26529506763048882</v>
      </c>
      <c r="Y83" s="322">
        <f t="shared" si="108"/>
        <v>20.012352347799279</v>
      </c>
      <c r="Z83" s="322">
        <f t="shared" si="108"/>
        <v>-1.8203198745968763</v>
      </c>
      <c r="AA83" s="322">
        <f t="shared" si="108"/>
        <v>1.2224372519926474</v>
      </c>
      <c r="AB83" s="322">
        <f t="shared" si="109"/>
        <v>0.19784883397389041</v>
      </c>
      <c r="AD83" s="322">
        <f t="shared" si="110"/>
        <v>0.19784883397389041</v>
      </c>
      <c r="AE83" s="322">
        <f t="shared" si="111"/>
        <v>3.3186575198731916</v>
      </c>
      <c r="AF83" s="322">
        <f t="shared" si="112"/>
        <v>3.4445924677907191</v>
      </c>
    </row>
    <row r="84" spans="1:32">
      <c r="A84" t="str">
        <f t="shared" si="95"/>
        <v>21 Science, research, engineering and technology professionals</v>
      </c>
      <c r="B84" s="322">
        <f t="shared" si="96"/>
        <v>1.8773236967932538</v>
      </c>
      <c r="C84" s="322">
        <f t="shared" si="96"/>
        <v>4.5125374341252522</v>
      </c>
      <c r="D84" s="322">
        <f t="shared" si="96"/>
        <v>3.9217974408579437</v>
      </c>
      <c r="E84" s="322">
        <f t="shared" si="96"/>
        <v>1.2090748903252235</v>
      </c>
      <c r="F84" s="322">
        <f t="shared" si="97"/>
        <v>2.1053550953749944</v>
      </c>
      <c r="H84" s="322">
        <f t="shared" si="98"/>
        <v>2.1053550953749944</v>
      </c>
      <c r="I84" s="322">
        <f t="shared" si="99"/>
        <v>2.5125010635409728</v>
      </c>
      <c r="J84" s="322">
        <f t="shared" si="100"/>
        <v>4.0646962750226168</v>
      </c>
      <c r="L84" t="str">
        <f t="shared" si="101"/>
        <v>21 Science, research, engineering and technology professionals</v>
      </c>
      <c r="M84" s="322">
        <f t="shared" si="102"/>
        <v>1.9785472060704912</v>
      </c>
      <c r="N84" s="322">
        <f t="shared" si="102"/>
        <v>0.88481478051813944</v>
      </c>
      <c r="O84" s="322">
        <f t="shared" si="102"/>
        <v>3.3965536013646602</v>
      </c>
      <c r="P84" s="322">
        <f t="shared" si="102"/>
        <v>0.9410984017006685</v>
      </c>
      <c r="Q84" s="322">
        <f t="shared" si="103"/>
        <v>1.75303500942805</v>
      </c>
      <c r="S84" s="322">
        <f t="shared" si="104"/>
        <v>1.75303500942805</v>
      </c>
      <c r="T84" s="322">
        <f t="shared" si="105"/>
        <v>2.2212164192738637</v>
      </c>
      <c r="U84" s="322">
        <f t="shared" si="106"/>
        <v>3.5524585451436552</v>
      </c>
      <c r="W84" t="str">
        <f t="shared" si="107"/>
        <v>21 Science, research, engineering and technology professionals</v>
      </c>
      <c r="X84" s="322">
        <f t="shared" si="108"/>
        <v>1.3262477330534095</v>
      </c>
      <c r="Y84" s="322">
        <f t="shared" si="108"/>
        <v>24.582151654791385</v>
      </c>
      <c r="Z84" s="322">
        <f t="shared" si="108"/>
        <v>6.1532939196052849</v>
      </c>
      <c r="AA84" s="322">
        <f t="shared" si="108"/>
        <v>2.2039691513932924</v>
      </c>
      <c r="AB84" s="322">
        <f t="shared" si="109"/>
        <v>3.5038091660962278</v>
      </c>
      <c r="AD84" s="322">
        <f t="shared" si="110"/>
        <v>3.5038091660962278</v>
      </c>
      <c r="AE84" s="322">
        <f t="shared" si="111"/>
        <v>3.6919195785664272</v>
      </c>
      <c r="AF84" s="322">
        <f t="shared" si="112"/>
        <v>6.0066999810534316</v>
      </c>
    </row>
    <row r="85" spans="1:32">
      <c r="A85" t="str">
        <f t="shared" si="95"/>
        <v>22 Health professionals</v>
      </c>
      <c r="B85" s="322">
        <f t="shared" si="96"/>
        <v>5.9533902611244471</v>
      </c>
      <c r="C85" s="322">
        <f t="shared" si="96"/>
        <v>-1.5760066522252481</v>
      </c>
      <c r="D85" s="322">
        <f t="shared" si="96"/>
        <v>-0.25509433363543055</v>
      </c>
      <c r="E85" s="322">
        <f t="shared" si="96"/>
        <v>0.74158810770108552</v>
      </c>
      <c r="F85" s="322">
        <f t="shared" si="97"/>
        <v>0.40825893933129631</v>
      </c>
      <c r="H85" s="322">
        <f t="shared" si="98"/>
        <v>0.40825893933129631</v>
      </c>
      <c r="I85" s="322">
        <f t="shared" si="99"/>
        <v>2.8952256750052863</v>
      </c>
      <c r="J85" s="322">
        <f t="shared" si="100"/>
        <v>3.1717089821122979</v>
      </c>
      <c r="L85" t="str">
        <f t="shared" si="101"/>
        <v>22 Health professionals</v>
      </c>
      <c r="M85" s="322">
        <f t="shared" si="102"/>
        <v>6.1794193834907585</v>
      </c>
      <c r="N85" s="322">
        <f t="shared" si="102"/>
        <v>6.3841967922703136</v>
      </c>
      <c r="O85" s="322">
        <f t="shared" si="102"/>
        <v>-0.30530871591032405</v>
      </c>
      <c r="P85" s="322">
        <f t="shared" si="102"/>
        <v>0.63148714436682685</v>
      </c>
      <c r="Q85" s="322">
        <f t="shared" si="103"/>
        <v>0.3182478378464193</v>
      </c>
      <c r="S85" s="322">
        <f t="shared" si="104"/>
        <v>0.3182478378464193</v>
      </c>
      <c r="T85" s="322">
        <f t="shared" si="105"/>
        <v>2.1915230911953909</v>
      </c>
      <c r="U85" s="322">
        <f t="shared" si="106"/>
        <v>2.4279038988670232</v>
      </c>
      <c r="W85" t="str">
        <f t="shared" si="107"/>
        <v>22 Health professionals</v>
      </c>
      <c r="X85" s="322">
        <f t="shared" si="108"/>
        <v>5.8838623831299453</v>
      </c>
      <c r="Y85" s="322">
        <f t="shared" si="108"/>
        <v>-4.0417283450983383</v>
      </c>
      <c r="Z85" s="322">
        <f t="shared" si="108"/>
        <v>-0.23787344803747335</v>
      </c>
      <c r="AA85" s="322">
        <f t="shared" si="108"/>
        <v>0.77902296141361127</v>
      </c>
      <c r="AB85" s="322">
        <f t="shared" si="109"/>
        <v>0.43891096289416787</v>
      </c>
      <c r="AD85" s="322">
        <f t="shared" si="110"/>
        <v>0.43891096289416787</v>
      </c>
      <c r="AE85" s="322">
        <f t="shared" si="111"/>
        <v>3.1221161860760516</v>
      </c>
      <c r="AF85" s="322">
        <f t="shared" si="112"/>
        <v>3.410728316450462</v>
      </c>
    </row>
    <row r="86" spans="1:32">
      <c r="A86" t="str">
        <f t="shared" si="95"/>
        <v>23 Teaching and other educational professionals</v>
      </c>
      <c r="B86" s="322">
        <f t="shared" si="96"/>
        <v>1.5319874948684697</v>
      </c>
      <c r="C86" s="322">
        <f t="shared" si="96"/>
        <v>6.0726399362236227</v>
      </c>
      <c r="D86" s="322">
        <f t="shared" si="96"/>
        <v>-5.1741183103570787E-2</v>
      </c>
      <c r="E86" s="322">
        <f t="shared" si="96"/>
        <v>0.95711284592294721</v>
      </c>
      <c r="F86" s="322">
        <f t="shared" si="97"/>
        <v>0.61970175648629056</v>
      </c>
      <c r="H86" s="322">
        <f t="shared" si="98"/>
        <v>0.61970175648629056</v>
      </c>
      <c r="I86" s="322">
        <f t="shared" si="99"/>
        <v>2.8361287211412511</v>
      </c>
      <c r="J86" s="322">
        <f t="shared" si="100"/>
        <v>3.2612072874415698</v>
      </c>
      <c r="L86" t="str">
        <f t="shared" si="101"/>
        <v>23 Teaching and other educational professionals</v>
      </c>
      <c r="M86" s="322">
        <f t="shared" si="102"/>
        <v>0.24380752979935583</v>
      </c>
      <c r="N86" s="322">
        <f t="shared" si="102"/>
        <v>7.6610263871226936</v>
      </c>
      <c r="O86" s="322">
        <f t="shared" si="102"/>
        <v>0.39627513774693757</v>
      </c>
      <c r="P86" s="322">
        <f t="shared" si="102"/>
        <v>0.71019784165400335</v>
      </c>
      <c r="Q86" s="322">
        <f t="shared" si="103"/>
        <v>0.60544802665907227</v>
      </c>
      <c r="S86" s="322">
        <f t="shared" si="104"/>
        <v>0.60544802665907227</v>
      </c>
      <c r="T86" s="322">
        <f t="shared" si="105"/>
        <v>2.4902019500789851</v>
      </c>
      <c r="U86" s="322">
        <f t="shared" si="106"/>
        <v>2.9247980886627944</v>
      </c>
      <c r="W86" t="str">
        <f t="shared" si="107"/>
        <v>23 Teaching and other educational professionals</v>
      </c>
      <c r="X86" s="322">
        <f t="shared" si="108"/>
        <v>2.1665571655984373</v>
      </c>
      <c r="Y86" s="322">
        <f t="shared" si="108"/>
        <v>5.3265396323644465</v>
      </c>
      <c r="Z86" s="322">
        <f t="shared" si="108"/>
        <v>-0.26973463352405469</v>
      </c>
      <c r="AA86" s="322">
        <f t="shared" si="108"/>
        <v>1.0776864505032124</v>
      </c>
      <c r="AB86" s="322">
        <f t="shared" si="109"/>
        <v>0.62653541359121157</v>
      </c>
      <c r="AD86" s="322">
        <f t="shared" si="110"/>
        <v>0.62653541359121157</v>
      </c>
      <c r="AE86" s="322">
        <f t="shared" si="111"/>
        <v>2.9966003619425807</v>
      </c>
      <c r="AF86" s="322">
        <f t="shared" si="112"/>
        <v>3.417431177081065</v>
      </c>
    </row>
    <row r="87" spans="1:32">
      <c r="A87" t="str">
        <f t="shared" si="95"/>
        <v>24 Business, media and public service professionals</v>
      </c>
      <c r="B87" s="322">
        <f t="shared" si="96"/>
        <v>2.7864250271628199</v>
      </c>
      <c r="C87" s="322">
        <f t="shared" si="96"/>
        <v>9.826339650530258</v>
      </c>
      <c r="D87" s="322">
        <f t="shared" si="96"/>
        <v>0.81600283389537953</v>
      </c>
      <c r="E87" s="322">
        <f t="shared" si="96"/>
        <v>1.1157699664662291</v>
      </c>
      <c r="F87" s="322">
        <f t="shared" si="97"/>
        <v>1.015748682921247</v>
      </c>
      <c r="H87" s="322">
        <f t="shared" si="98"/>
        <v>1.015748682921247</v>
      </c>
      <c r="I87" s="322">
        <f t="shared" si="99"/>
        <v>2.7798765642181866</v>
      </c>
      <c r="J87" s="322">
        <f t="shared" si="100"/>
        <v>3.4880577688708003</v>
      </c>
      <c r="L87" t="str">
        <f t="shared" si="101"/>
        <v>24 Business, media and public service professionals</v>
      </c>
      <c r="M87" s="322">
        <f t="shared" si="102"/>
        <v>1.5040750336225095</v>
      </c>
      <c r="N87" s="322">
        <f t="shared" si="102"/>
        <v>9.9454574718177646</v>
      </c>
      <c r="O87" s="322">
        <f t="shared" si="102"/>
        <v>1.0390464441532465</v>
      </c>
      <c r="P87" s="322">
        <f t="shared" si="102"/>
        <v>0.76894646431242553</v>
      </c>
      <c r="Q87" s="322">
        <f t="shared" si="103"/>
        <v>0.85889946905082226</v>
      </c>
      <c r="S87" s="322">
        <f t="shared" si="104"/>
        <v>0.85889946905082226</v>
      </c>
      <c r="T87" s="322">
        <f t="shared" si="105"/>
        <v>2.5133449295227983</v>
      </c>
      <c r="U87" s="322">
        <f t="shared" si="106"/>
        <v>3.1312164429942113</v>
      </c>
      <c r="W87" t="str">
        <f t="shared" si="107"/>
        <v>24 Business, media and public service professionals</v>
      </c>
      <c r="X87" s="322">
        <f t="shared" si="108"/>
        <v>4.694532094727899</v>
      </c>
      <c r="Y87" s="322">
        <f t="shared" si="108"/>
        <v>9.6622728722420614</v>
      </c>
      <c r="Z87" s="322">
        <f t="shared" si="108"/>
        <v>0.50471848492701366</v>
      </c>
      <c r="AA87" s="322">
        <f t="shared" si="108"/>
        <v>1.5899146734469349</v>
      </c>
      <c r="AB87" s="322">
        <f t="shared" si="109"/>
        <v>1.2268868895596308</v>
      </c>
      <c r="AD87" s="322">
        <f t="shared" si="110"/>
        <v>1.2268868895596308</v>
      </c>
      <c r="AE87" s="322">
        <f t="shared" si="111"/>
        <v>3.1327183555329263</v>
      </c>
      <c r="AF87" s="322">
        <f t="shared" si="112"/>
        <v>3.9541207794202782</v>
      </c>
    </row>
    <row r="88" spans="1:32">
      <c r="A88" t="str">
        <f t="shared" si="95"/>
        <v>31 Science, engineering and technology associate professionals</v>
      </c>
      <c r="B88" s="322">
        <f t="shared" si="96"/>
        <v>1.4040679544263135</v>
      </c>
      <c r="C88" s="322">
        <f t="shared" si="96"/>
        <v>7.8496821858051735</v>
      </c>
      <c r="D88" s="322">
        <f t="shared" si="96"/>
        <v>-1.6546214430430584</v>
      </c>
      <c r="E88" s="322">
        <f t="shared" si="96"/>
        <v>0.50457032122892542</v>
      </c>
      <c r="F88" s="322">
        <f t="shared" si="97"/>
        <v>-0.22037679293600565</v>
      </c>
      <c r="H88" s="322">
        <f t="shared" si="98"/>
        <v>-0.22037679293600565</v>
      </c>
      <c r="I88" s="322">
        <f t="shared" si="99"/>
        <v>2.1365536762369963</v>
      </c>
      <c r="J88" s="322">
        <f t="shared" si="100"/>
        <v>1.973326019838173</v>
      </c>
      <c r="L88" t="str">
        <f t="shared" si="101"/>
        <v>31 Science, engineering and technology associate professionals</v>
      </c>
      <c r="M88" s="322">
        <f t="shared" si="102"/>
        <v>1.9118441845405121</v>
      </c>
      <c r="N88" s="322">
        <f t="shared" si="102"/>
        <v>4.0980480863311186</v>
      </c>
      <c r="O88" s="322">
        <f t="shared" si="102"/>
        <v>-2.5099560195878223</v>
      </c>
      <c r="P88" s="322">
        <f t="shared" si="102"/>
        <v>8.5249704695677941E-2</v>
      </c>
      <c r="Q88" s="322">
        <f t="shared" si="103"/>
        <v>-0.78740554141478736</v>
      </c>
      <c r="S88" s="322">
        <f t="shared" si="104"/>
        <v>-0.78740554141478736</v>
      </c>
      <c r="T88" s="322">
        <f t="shared" si="105"/>
        <v>1.8625531841960585</v>
      </c>
      <c r="U88" s="322">
        <f t="shared" si="106"/>
        <v>1.2627221593897842</v>
      </c>
      <c r="W88" t="str">
        <f t="shared" si="107"/>
        <v>31 Science, engineering and technology associate professionals</v>
      </c>
      <c r="X88" s="322">
        <f t="shared" si="108"/>
        <v>-0.4997859592824283</v>
      </c>
      <c r="Y88" s="322">
        <f t="shared" si="108"/>
        <v>22.787049943978666</v>
      </c>
      <c r="Z88" s="322">
        <f t="shared" si="108"/>
        <v>1.0319620013121478</v>
      </c>
      <c r="AA88" s="322">
        <f t="shared" si="108"/>
        <v>1.6103258770589823</v>
      </c>
      <c r="AB88" s="322">
        <f t="shared" si="109"/>
        <v>1.4171709756978013</v>
      </c>
      <c r="AD88" s="322">
        <f t="shared" si="110"/>
        <v>1.4171709756978013</v>
      </c>
      <c r="AE88" s="322">
        <f t="shared" si="111"/>
        <v>2.9922360880029863</v>
      </c>
      <c r="AF88" s="322">
        <f t="shared" si="112"/>
        <v>3.9624800368782465</v>
      </c>
    </row>
    <row r="89" spans="1:32">
      <c r="A89" t="str">
        <f t="shared" si="95"/>
        <v>32 Health and social care associate professionals</v>
      </c>
      <c r="B89" s="322">
        <f t="shared" si="96"/>
        <v>4.9454369661249942</v>
      </c>
      <c r="C89" s="322">
        <f t="shared" si="96"/>
        <v>0.41211142353445585</v>
      </c>
      <c r="D89" s="322">
        <f t="shared" si="96"/>
        <v>9.9521623238132193</v>
      </c>
      <c r="E89" s="322">
        <f t="shared" si="96"/>
        <v>1.7627013040600659</v>
      </c>
      <c r="F89" s="322">
        <f t="shared" si="97"/>
        <v>4.422401319894731</v>
      </c>
      <c r="H89" s="322">
        <f t="shared" si="98"/>
        <v>4.422401319894731</v>
      </c>
      <c r="I89" s="322">
        <f t="shared" si="99"/>
        <v>4.5605293095293709</v>
      </c>
      <c r="J89" s="322">
        <f t="shared" si="100"/>
        <v>7.2716871865827315</v>
      </c>
      <c r="L89" t="str">
        <f t="shared" si="101"/>
        <v>32 Health and social care associate professionals</v>
      </c>
      <c r="M89" s="322">
        <f t="shared" si="102"/>
        <v>2.8211055628101889</v>
      </c>
      <c r="N89" s="322">
        <f t="shared" si="102"/>
        <v>5.3506698084005988</v>
      </c>
      <c r="O89" s="322">
        <f t="shared" si="102"/>
        <v>5.9440808202783746</v>
      </c>
      <c r="P89" s="322">
        <f t="shared" si="102"/>
        <v>1.0754004969319775</v>
      </c>
      <c r="Q89" s="322">
        <f>IF(AND(Q$6-O$6 &lt;&gt; 0,O15&lt;&gt;0,Q15&lt;&gt;0),(EXP(LN(Q15/O15)/(Q$6-O$6))-1)*100,0)</f>
        <v>2.6729120135512208</v>
      </c>
      <c r="S89" s="322">
        <f t="shared" si="104"/>
        <v>2.6729120135512208</v>
      </c>
      <c r="T89" s="322">
        <f t="shared" si="105"/>
        <v>3.4048232850848903</v>
      </c>
      <c r="U89" s="322">
        <f t="shared" si="106"/>
        <v>5.1955566709054324</v>
      </c>
      <c r="W89" t="str">
        <f t="shared" si="107"/>
        <v>32 Health and social care associate professionals</v>
      </c>
      <c r="X89" s="322">
        <f t="shared" si="108"/>
        <v>5.5602649914905378</v>
      </c>
      <c r="Y89" s="322">
        <f t="shared" si="108"/>
        <v>-0.92596780019424951</v>
      </c>
      <c r="Z89" s="322">
        <f t="shared" si="108"/>
        <v>11.005384891311355</v>
      </c>
      <c r="AA89" s="322">
        <f t="shared" si="108"/>
        <v>1.9138148463047733</v>
      </c>
      <c r="AB89" s="322">
        <f t="shared" si="109"/>
        <v>4.8584389427574814</v>
      </c>
      <c r="AD89" s="322">
        <f t="shared" si="110"/>
        <v>4.8584389427574814</v>
      </c>
      <c r="AE89" s="322">
        <f t="shared" si="111"/>
        <v>4.8627404559771215</v>
      </c>
      <c r="AF89" s="322">
        <f t="shared" si="112"/>
        <v>7.7781387976566974</v>
      </c>
    </row>
    <row r="90" spans="1:32">
      <c r="A90" t="str">
        <f t="shared" si="95"/>
        <v>33 Protective service occupations</v>
      </c>
      <c r="B90" s="322">
        <f t="shared" si="96"/>
        <v>-9.8102447829739869E-2</v>
      </c>
      <c r="C90" s="322">
        <f t="shared" si="96"/>
        <v>5.8801117407166981</v>
      </c>
      <c r="D90" s="322">
        <f t="shared" si="96"/>
        <v>-2.8414754351979266</v>
      </c>
      <c r="E90" s="322">
        <f t="shared" si="96"/>
        <v>0.93036786339304456</v>
      </c>
      <c r="F90" s="322">
        <f t="shared" si="97"/>
        <v>-0.34290857454674084</v>
      </c>
      <c r="H90" s="322">
        <f t="shared" si="98"/>
        <v>-0.34290857454674084</v>
      </c>
      <c r="I90" s="322">
        <f t="shared" si="99"/>
        <v>1.8122302221039277</v>
      </c>
      <c r="J90" s="322">
        <f t="shared" si="100"/>
        <v>1.5470847680098876</v>
      </c>
      <c r="L90" t="str">
        <f t="shared" si="101"/>
        <v>33 Protective service occupations</v>
      </c>
      <c r="M90" s="322">
        <f t="shared" si="102"/>
        <v>-1.1457039382147371</v>
      </c>
      <c r="N90" s="322">
        <f t="shared" si="102"/>
        <v>4.2821398074769812</v>
      </c>
      <c r="O90" s="322">
        <f t="shared" si="102"/>
        <v>-3.0284738912398357</v>
      </c>
      <c r="P90" s="322">
        <f t="shared" si="102"/>
        <v>4.2463124898550753E-2</v>
      </c>
      <c r="Q90" s="322">
        <f t="shared" si="103"/>
        <v>-0.99183896330080623</v>
      </c>
      <c r="S90" s="322">
        <f t="shared" si="104"/>
        <v>-0.99183896330080623</v>
      </c>
      <c r="T90" s="322">
        <f t="shared" si="105"/>
        <v>1.4637958521531713</v>
      </c>
      <c r="U90" s="322">
        <f t="shared" si="106"/>
        <v>0.66592416567698987</v>
      </c>
      <c r="W90" t="str">
        <f t="shared" si="107"/>
        <v>33 Protective service occupations</v>
      </c>
      <c r="X90" s="322">
        <f t="shared" si="108"/>
        <v>3.2163469053001714</v>
      </c>
      <c r="Y90" s="322">
        <f t="shared" si="108"/>
        <v>10.421211379352435</v>
      </c>
      <c r="Z90" s="322">
        <f t="shared" si="108"/>
        <v>-2.3466050080138467</v>
      </c>
      <c r="AA90" s="322">
        <f t="shared" si="108"/>
        <v>2.9503230652070833</v>
      </c>
      <c r="AB90" s="322">
        <f t="shared" si="109"/>
        <v>1.1535024102477198</v>
      </c>
      <c r="AD90" s="322">
        <f t="shared" si="110"/>
        <v>1.1535024102477198</v>
      </c>
      <c r="AE90" s="322">
        <f t="shared" si="111"/>
        <v>2.6724908811912362</v>
      </c>
      <c r="AF90" s="322">
        <f t="shared" si="112"/>
        <v>3.4903619634310434</v>
      </c>
    </row>
    <row r="91" spans="1:32">
      <c r="A91" t="str">
        <f t="shared" si="95"/>
        <v>34 Culture, media and sports occupations</v>
      </c>
      <c r="B91" s="322">
        <f t="shared" si="96"/>
        <v>-0.18747154936609167</v>
      </c>
      <c r="C91" s="322">
        <f t="shared" si="96"/>
        <v>3.0103116288981768</v>
      </c>
      <c r="D91" s="322">
        <f t="shared" si="96"/>
        <v>-2.9551296495780921</v>
      </c>
      <c r="E91" s="322">
        <f t="shared" si="96"/>
        <v>0.89609841967528414</v>
      </c>
      <c r="F91" s="322">
        <f t="shared" si="97"/>
        <v>-0.40433329111217997</v>
      </c>
      <c r="H91" s="322">
        <f t="shared" si="98"/>
        <v>-0.40433329111217997</v>
      </c>
      <c r="I91" s="322">
        <f t="shared" si="99"/>
        <v>2.3383788741752287</v>
      </c>
      <c r="J91" s="322">
        <f t="shared" si="100"/>
        <v>2.048279404007447</v>
      </c>
      <c r="L91" t="str">
        <f t="shared" si="101"/>
        <v>34 Culture, media and sports occupations</v>
      </c>
      <c r="M91" s="322">
        <f t="shared" si="102"/>
        <v>-0.10838112534133915</v>
      </c>
      <c r="N91" s="322">
        <f t="shared" si="102"/>
        <v>1.030032961482652</v>
      </c>
      <c r="O91" s="322">
        <f t="shared" si="102"/>
        <v>-3.1123833287891478</v>
      </c>
      <c r="P91" s="322">
        <f t="shared" si="102"/>
        <v>0.64592005120325258</v>
      </c>
      <c r="Q91" s="322">
        <f t="shared" si="103"/>
        <v>-0.62277306753838468</v>
      </c>
      <c r="S91" s="322">
        <f t="shared" si="104"/>
        <v>-0.62277306753838468</v>
      </c>
      <c r="T91" s="322">
        <f t="shared" si="105"/>
        <v>2.0443468238622975</v>
      </c>
      <c r="U91" s="322">
        <f t="shared" si="106"/>
        <v>1.5806738549974053</v>
      </c>
      <c r="W91" t="str">
        <f t="shared" si="107"/>
        <v>34 Culture, media and sports occupations</v>
      </c>
      <c r="X91" s="322">
        <f t="shared" si="108"/>
        <v>-0.30651287120598836</v>
      </c>
      <c r="Y91" s="322">
        <f t="shared" si="108"/>
        <v>6.0057198865526296</v>
      </c>
      <c r="Z91" s="322">
        <f>IF(AND(AA$6-Z$6 &lt;&gt; 0,Z17&lt;&gt;0,AA17&lt;&gt;0),(EXP(LN(AA17/Z17)/(AA$6-Z$6))-1)*100,0)</f>
        <v>-2.7302080773271009</v>
      </c>
      <c r="AA91" s="322">
        <f t="shared" si="108"/>
        <v>1.240473226622707</v>
      </c>
      <c r="AB91" s="322">
        <f t="shared" si="109"/>
        <v>-0.10077786217630447</v>
      </c>
      <c r="AD91" s="322">
        <f t="shared" si="110"/>
        <v>-0.10077786217630447</v>
      </c>
      <c r="AE91" s="322">
        <f t="shared" si="111"/>
        <v>2.7424786111483135</v>
      </c>
      <c r="AF91" s="322">
        <f t="shared" si="112"/>
        <v>2.6736388685449031</v>
      </c>
    </row>
    <row r="92" spans="1:32">
      <c r="A92" t="str">
        <f t="shared" si="95"/>
        <v>35 Business and public service associate professionals</v>
      </c>
      <c r="B92" s="322">
        <f t="shared" si="96"/>
        <v>0.27238861763787536</v>
      </c>
      <c r="C92" s="322">
        <f t="shared" si="96"/>
        <v>3.364434303052688</v>
      </c>
      <c r="D92" s="322">
        <f t="shared" si="96"/>
        <v>4.4152660554086509E-2</v>
      </c>
      <c r="E92" s="322">
        <f t="shared" si="96"/>
        <v>0.52579838303723481</v>
      </c>
      <c r="F92" s="322">
        <f t="shared" si="97"/>
        <v>0.36499271392635979</v>
      </c>
      <c r="H92" s="322">
        <f t="shared" si="98"/>
        <v>0.36499271392635979</v>
      </c>
      <c r="I92" s="322">
        <f t="shared" si="99"/>
        <v>2.5801844835433796</v>
      </c>
      <c r="J92" s="322">
        <f t="shared" si="100"/>
        <v>2.8377431798494612</v>
      </c>
      <c r="L92" t="str">
        <f t="shared" si="101"/>
        <v>35 Business and public service associate professionals</v>
      </c>
      <c r="M92" s="322">
        <f t="shared" si="102"/>
        <v>-0.57303733731663975</v>
      </c>
      <c r="N92" s="322">
        <f t="shared" si="102"/>
        <v>4.1615832882918813</v>
      </c>
      <c r="O92" s="322">
        <f t="shared" si="102"/>
        <v>-0.13145766236517531</v>
      </c>
      <c r="P92" s="322">
        <f t="shared" si="102"/>
        <v>9.9281786277649609E-2</v>
      </c>
      <c r="Q92" s="322">
        <f t="shared" si="103"/>
        <v>2.2309463279701625E-2</v>
      </c>
      <c r="S92" s="322">
        <f t="shared" si="104"/>
        <v>2.2309463279701625E-2</v>
      </c>
      <c r="T92" s="322">
        <f t="shared" si="105"/>
        <v>2.1814034053103226</v>
      </c>
      <c r="U92" s="322">
        <f t="shared" si="106"/>
        <v>2.1979028919796306</v>
      </c>
      <c r="W92" t="str">
        <f t="shared" si="107"/>
        <v>35 Business and public service associate professionals</v>
      </c>
      <c r="X92" s="322">
        <f t="shared" si="108"/>
        <v>1.3234461388077712</v>
      </c>
      <c r="Y92" s="322">
        <f t="shared" si="108"/>
        <v>2.4190987098611005</v>
      </c>
      <c r="Z92" s="322">
        <f t="shared" si="108"/>
        <v>0.2543241488362602</v>
      </c>
      <c r="AA92" s="322">
        <f t="shared" si="108"/>
        <v>1.0102199225215269</v>
      </c>
      <c r="AB92" s="322">
        <f t="shared" si="109"/>
        <v>0.75762352299144631</v>
      </c>
      <c r="AD92" s="322">
        <f t="shared" si="110"/>
        <v>0.75762352299144631</v>
      </c>
      <c r="AE92" s="322">
        <f t="shared" si="111"/>
        <v>3.0339493077815805</v>
      </c>
      <c r="AF92" s="322">
        <f t="shared" si="112"/>
        <v>3.5419393652701192</v>
      </c>
    </row>
    <row r="93" spans="1:32">
      <c r="A93" t="str">
        <f t="shared" si="95"/>
        <v>41 Administrative occupations</v>
      </c>
      <c r="B93" s="322">
        <f t="shared" si="96"/>
        <v>-2.0858141688019138</v>
      </c>
      <c r="C93" s="322">
        <f t="shared" si="96"/>
        <v>4.5010701401460018</v>
      </c>
      <c r="D93" s="322">
        <f t="shared" si="96"/>
        <v>0.72514798014069459</v>
      </c>
      <c r="E93" s="322">
        <f t="shared" si="96"/>
        <v>-0.16771556923627085</v>
      </c>
      <c r="F93" s="322">
        <f t="shared" si="97"/>
        <v>0.12902272457058217</v>
      </c>
      <c r="H93" s="322">
        <f t="shared" si="98"/>
        <v>0.12902272457058217</v>
      </c>
      <c r="I93" s="322">
        <f t="shared" si="99"/>
        <v>2.8014693041727767</v>
      </c>
      <c r="J93" s="322">
        <f t="shared" si="100"/>
        <v>2.8893717515916295</v>
      </c>
      <c r="L93" t="str">
        <f t="shared" si="101"/>
        <v>41 Administrative occupations</v>
      </c>
      <c r="M93" s="322">
        <f t="shared" si="102"/>
        <v>-3.3888477044755394</v>
      </c>
      <c r="N93" s="322">
        <f t="shared" si="102"/>
        <v>19.31569752850617</v>
      </c>
      <c r="O93" s="322">
        <f t="shared" si="102"/>
        <v>1.5828882561924162</v>
      </c>
      <c r="P93" s="322">
        <f t="shared" si="102"/>
        <v>1.1341010641637617</v>
      </c>
      <c r="Q93" s="322">
        <f t="shared" si="103"/>
        <v>1.283476059456401</v>
      </c>
      <c r="S93" s="322">
        <f t="shared" si="104"/>
        <v>1.283476059456401</v>
      </c>
      <c r="T93" s="322">
        <f t="shared" si="105"/>
        <v>2.3902360598418104</v>
      </c>
      <c r="U93" s="322">
        <f t="shared" si="106"/>
        <v>3.3362458892174596</v>
      </c>
      <c r="W93" t="str">
        <f t="shared" si="107"/>
        <v>41 Administrative occupations</v>
      </c>
      <c r="X93" s="322">
        <f t="shared" si="108"/>
        <v>-1.4962777747819067</v>
      </c>
      <c r="Y93" s="322">
        <f t="shared" si="108"/>
        <v>-1.8836721807512391</v>
      </c>
      <c r="Z93" s="322">
        <f t="shared" si="108"/>
        <v>0.26368099364975084</v>
      </c>
      <c r="AA93" s="322">
        <f t="shared" si="108"/>
        <v>-0.9686364428255434</v>
      </c>
      <c r="AB93" s="322">
        <f t="shared" si="109"/>
        <v>-0.55955612621606532</v>
      </c>
      <c r="AD93" s="322">
        <f t="shared" si="110"/>
        <v>-0.55955612621606532</v>
      </c>
      <c r="AE93" s="322">
        <f t="shared" si="111"/>
        <v>3.0081287477458751</v>
      </c>
      <c r="AF93" s="322">
        <f t="shared" si="112"/>
        <v>2.6438526401896034</v>
      </c>
    </row>
    <row r="94" spans="1:32">
      <c r="A94" t="str">
        <f t="shared" si="95"/>
        <v>42 Secretarial and related occupations</v>
      </c>
      <c r="B94" s="322">
        <f t="shared" si="96"/>
        <v>-3.6107913934231406</v>
      </c>
      <c r="C94" s="322">
        <f t="shared" si="96"/>
        <v>-2.2594301147462414</v>
      </c>
      <c r="D94" s="322">
        <f t="shared" si="96"/>
        <v>-1.5837709631233654</v>
      </c>
      <c r="E94" s="322">
        <f t="shared" si="96"/>
        <v>-4.4986197690612295</v>
      </c>
      <c r="F94" s="322">
        <f t="shared" si="97"/>
        <v>-3.5367242946928501</v>
      </c>
      <c r="H94" s="322">
        <f t="shared" si="98"/>
        <v>-3.5367242946928501</v>
      </c>
      <c r="I94" s="322">
        <f t="shared" si="99"/>
        <v>2.4158564652668968</v>
      </c>
      <c r="J94" s="322">
        <f t="shared" si="100"/>
        <v>8.7767756041556844E-2</v>
      </c>
      <c r="L94" t="str">
        <f t="shared" si="101"/>
        <v>42 Secretarial and related occupations</v>
      </c>
      <c r="M94" s="322">
        <f t="shared" si="102"/>
        <v>-8.2106714749163423</v>
      </c>
      <c r="N94" s="322">
        <f t="shared" si="102"/>
        <v>2.6185796379296411</v>
      </c>
      <c r="O94" s="322">
        <f t="shared" si="102"/>
        <v>-2.6085184015272489</v>
      </c>
      <c r="P94" s="322">
        <f t="shared" si="102"/>
        <v>1.3989085484579888</v>
      </c>
      <c r="Q94" s="322">
        <f t="shared" si="103"/>
        <v>4.5105019016000725E-2</v>
      </c>
      <c r="S94" s="322">
        <f t="shared" si="104"/>
        <v>4.5105019016000725E-2</v>
      </c>
      <c r="T94" s="322">
        <f t="shared" si="105"/>
        <v>1.7993742891343256</v>
      </c>
      <c r="U94" s="322">
        <f t="shared" si="106"/>
        <v>1.8345396138130132</v>
      </c>
      <c r="W94" t="str">
        <f t="shared" si="107"/>
        <v>42 Secretarial and related occupations</v>
      </c>
      <c r="X94" s="322">
        <f t="shared" si="108"/>
        <v>-3.1929595855257675</v>
      </c>
      <c r="Y94" s="322">
        <f t="shared" si="108"/>
        <v>-2.6467475673394358</v>
      </c>
      <c r="Z94" s="322">
        <f t="shared" si="108"/>
        <v>-1.4999152264003168</v>
      </c>
      <c r="AA94" s="322">
        <f t="shared" si="108"/>
        <v>-5.1373923033953384</v>
      </c>
      <c r="AB94" s="322">
        <f t="shared" si="109"/>
        <v>-3.940075562194234</v>
      </c>
      <c r="AD94" s="322">
        <f t="shared" si="110"/>
        <v>-3.940075562194234</v>
      </c>
      <c r="AE94" s="322">
        <f t="shared" si="111"/>
        <v>2.465168080879665</v>
      </c>
      <c r="AF94" s="322">
        <f t="shared" si="112"/>
        <v>-7.9659390168429489E-2</v>
      </c>
    </row>
    <row r="95" spans="1:32">
      <c r="A95" t="str">
        <f t="shared" si="95"/>
        <v>51 Skilled agricultural and related trades</v>
      </c>
      <c r="B95" s="322">
        <f t="shared" si="96"/>
        <v>-3.1768746082801003</v>
      </c>
      <c r="C95" s="322">
        <f t="shared" si="96"/>
        <v>-16.115367966831041</v>
      </c>
      <c r="D95" s="322">
        <f t="shared" si="96"/>
        <v>-9.2963988318128798E-2</v>
      </c>
      <c r="E95" s="322">
        <f t="shared" si="96"/>
        <v>1.0692981736385443</v>
      </c>
      <c r="F95" s="322">
        <f t="shared" si="97"/>
        <v>0.6803828236388032</v>
      </c>
      <c r="H95" s="322">
        <f t="shared" si="98"/>
        <v>0.6803828236388032</v>
      </c>
      <c r="I95" s="322">
        <f t="shared" si="99"/>
        <v>3.018456231198785</v>
      </c>
      <c r="J95" s="322">
        <f t="shared" si="100"/>
        <v>3.4747337362216024</v>
      </c>
      <c r="L95" t="str">
        <f t="shared" si="101"/>
        <v>51 Skilled agricultural and related trades</v>
      </c>
      <c r="M95" s="322">
        <f t="shared" si="102"/>
        <v>-3.4363525368120262</v>
      </c>
      <c r="N95" s="322">
        <f t="shared" si="102"/>
        <v>-19.010329810471028</v>
      </c>
      <c r="O95" s="322">
        <f t="shared" si="102"/>
        <v>-0.50870939091031131</v>
      </c>
      <c r="P95" s="322">
        <f t="shared" si="102"/>
        <v>0.90279458547157798</v>
      </c>
      <c r="Q95" s="322">
        <f t="shared" si="103"/>
        <v>0.43008214084976348</v>
      </c>
      <c r="S95" s="322">
        <f t="shared" si="104"/>
        <v>0.43008214084976348</v>
      </c>
      <c r="T95" s="322">
        <f t="shared" si="105"/>
        <v>2.8017197440692865</v>
      </c>
      <c r="U95" s="322">
        <f t="shared" si="106"/>
        <v>3.0967869311642415</v>
      </c>
      <c r="W95" t="str">
        <f t="shared" si="107"/>
        <v>51 Skilled agricultural and related trades</v>
      </c>
      <c r="X95" s="322">
        <f t="shared" si="108"/>
        <v>-1.6395242923796682</v>
      </c>
      <c r="Y95" s="322">
        <f t="shared" si="108"/>
        <v>0.2664942720617125</v>
      </c>
      <c r="Z95" s="322">
        <f t="shared" si="108"/>
        <v>1.7242629016258615</v>
      </c>
      <c r="AA95" s="322">
        <f t="shared" si="108"/>
        <v>1.7258566660028229</v>
      </c>
      <c r="AB95" s="322">
        <f t="shared" si="109"/>
        <v>1.7253254084360403</v>
      </c>
      <c r="AD95" s="322">
        <f t="shared" si="110"/>
        <v>1.7253254084360403</v>
      </c>
      <c r="AE95" s="322">
        <f t="shared" si="111"/>
        <v>3.935283843647186</v>
      </c>
      <c r="AF95" s="322">
        <f t="shared" si="112"/>
        <v>4.9925731484673053</v>
      </c>
    </row>
    <row r="96" spans="1:32">
      <c r="A96" t="str">
        <f t="shared" si="95"/>
        <v>52 Skilled metal, electrical and electronic trades</v>
      </c>
      <c r="B96" s="322">
        <f t="shared" si="96"/>
        <v>-0.24461951394744164</v>
      </c>
      <c r="C96" s="322">
        <f t="shared" si="96"/>
        <v>-18.017486150227302</v>
      </c>
      <c r="D96" s="322">
        <f t="shared" si="96"/>
        <v>-0.5331607328017407</v>
      </c>
      <c r="E96" s="322">
        <f t="shared" si="96"/>
        <v>-0.81744418681882758</v>
      </c>
      <c r="F96" s="322">
        <f t="shared" si="97"/>
        <v>-0.72277342843283243</v>
      </c>
      <c r="H96" s="322">
        <f t="shared" si="98"/>
        <v>-0.72277342843283243</v>
      </c>
      <c r="I96" s="322">
        <f t="shared" si="99"/>
        <v>2.0546121151125529</v>
      </c>
      <c r="J96" s="322">
        <f t="shared" si="100"/>
        <v>1.5183077456427885</v>
      </c>
      <c r="L96" t="str">
        <f t="shared" si="101"/>
        <v>52 Skilled metal, electrical and electronic trades</v>
      </c>
      <c r="M96" s="322">
        <f t="shared" si="102"/>
        <v>-0.44635368144233523</v>
      </c>
      <c r="N96" s="322">
        <f t="shared" si="102"/>
        <v>-17.909841621303379</v>
      </c>
      <c r="O96" s="322">
        <f t="shared" si="102"/>
        <v>-0.80234870000438496</v>
      </c>
      <c r="P96" s="322">
        <f t="shared" si="102"/>
        <v>-0.91208398531460455</v>
      </c>
      <c r="Q96" s="322">
        <f t="shared" si="103"/>
        <v>-0.87551905154897858</v>
      </c>
      <c r="S96" s="322">
        <f t="shared" si="104"/>
        <v>-0.87551905154897858</v>
      </c>
      <c r="T96" s="322">
        <f t="shared" si="105"/>
        <v>1.996764305467158</v>
      </c>
      <c r="U96" s="322">
        <f t="shared" si="106"/>
        <v>1.343636653193836</v>
      </c>
      <c r="W96" t="str">
        <f t="shared" si="107"/>
        <v>52 Skilled metal, electrical and electronic trades</v>
      </c>
      <c r="X96" s="322">
        <f t="shared" si="108"/>
        <v>12.622111858112461</v>
      </c>
      <c r="Y96" s="322">
        <f t="shared" si="108"/>
        <v>-23.107863841282295</v>
      </c>
      <c r="Z96" s="322">
        <f t="shared" si="108"/>
        <v>10.334733162761033</v>
      </c>
      <c r="AA96" s="322">
        <f t="shared" si="108"/>
        <v>1.6754593201871115</v>
      </c>
      <c r="AB96" s="322">
        <f t="shared" si="109"/>
        <v>4.4836121433426301</v>
      </c>
      <c r="AD96" s="322">
        <f t="shared" si="110"/>
        <v>4.4836121433426301</v>
      </c>
      <c r="AE96" s="322">
        <f t="shared" si="111"/>
        <v>4.5054149332628635</v>
      </c>
      <c r="AF96" s="322">
        <f t="shared" si="112"/>
        <v>7.2754766739670629</v>
      </c>
    </row>
    <row r="97" spans="1:32">
      <c r="A97" t="str">
        <f t="shared" si="95"/>
        <v>53 Skilled construction and building trades</v>
      </c>
      <c r="B97" s="322">
        <f t="shared" si="96"/>
        <v>3.3897609176739563</v>
      </c>
      <c r="C97" s="322">
        <f t="shared" si="96"/>
        <v>-18.11698135541614</v>
      </c>
      <c r="D97" s="322">
        <f t="shared" si="96"/>
        <v>-0.76746755060049798</v>
      </c>
      <c r="E97" s="322">
        <f t="shared" si="96"/>
        <v>-1.5363216021304082</v>
      </c>
      <c r="F97" s="322">
        <f t="shared" si="97"/>
        <v>-1.2807011061727547</v>
      </c>
      <c r="H97" s="322">
        <f t="shared" si="98"/>
        <v>-1.2807011061727547</v>
      </c>
      <c r="I97" s="322">
        <f t="shared" si="99"/>
        <v>2.2086984447926783</v>
      </c>
      <c r="J97" s="322">
        <f t="shared" si="100"/>
        <v>1.2898848040112654</v>
      </c>
      <c r="L97" t="str">
        <f t="shared" si="101"/>
        <v>53 Skilled construction and building trades</v>
      </c>
      <c r="M97" s="322">
        <f t="shared" si="102"/>
        <v>3.4476945948675342</v>
      </c>
      <c r="N97" s="322">
        <f t="shared" si="102"/>
        <v>-18.570603777131232</v>
      </c>
      <c r="O97" s="322">
        <f t="shared" si="102"/>
        <v>-0.63714619883237233</v>
      </c>
      <c r="P97" s="322">
        <f t="shared" si="102"/>
        <v>-1.5597852648980615</v>
      </c>
      <c r="Q97" s="322">
        <f t="shared" si="103"/>
        <v>-1.2531947720970216</v>
      </c>
      <c r="S97" s="322">
        <f t="shared" si="104"/>
        <v>-1.2531947720970216</v>
      </c>
      <c r="T97" s="322">
        <f t="shared" si="105"/>
        <v>2.214094442404213</v>
      </c>
      <c r="U97" s="322">
        <f t="shared" si="106"/>
        <v>1.3151961173786919</v>
      </c>
      <c r="W97" t="str">
        <f t="shared" si="107"/>
        <v>53 Skilled construction and building trades</v>
      </c>
      <c r="X97" s="322">
        <f t="shared" si="108"/>
        <v>-1.2973040547697101</v>
      </c>
      <c r="Y97" s="322">
        <f t="shared" si="108"/>
        <v>23.209445697629082</v>
      </c>
      <c r="Z97" s="322">
        <f t="shared" si="108"/>
        <v>-10.297876919908122</v>
      </c>
      <c r="AA97" s="322">
        <f t="shared" si="108"/>
        <v>0.59672248132343064</v>
      </c>
      <c r="AB97" s="322">
        <f t="shared" si="109"/>
        <v>-3.1744153008046005</v>
      </c>
      <c r="AD97" s="322">
        <f t="shared" si="110"/>
        <v>-3.1744153008046005</v>
      </c>
      <c r="AE97" s="322">
        <f t="shared" si="111"/>
        <v>1.8762188000802205</v>
      </c>
      <c r="AF97" s="322">
        <f t="shared" si="112"/>
        <v>-0.42606795334740877</v>
      </c>
    </row>
    <row r="98" spans="1:32">
      <c r="A98" t="str">
        <f t="shared" si="95"/>
        <v>54 Textiles, printing and other skilled trades</v>
      </c>
      <c r="B98" s="322">
        <f t="shared" si="96"/>
        <v>-3.3242454604982097</v>
      </c>
      <c r="C98" s="322">
        <f t="shared" si="96"/>
        <v>-1.3817368318814527</v>
      </c>
      <c r="D98" s="322">
        <f t="shared" si="96"/>
        <v>0.21333696076419884</v>
      </c>
      <c r="E98" s="322">
        <f t="shared" si="96"/>
        <v>-0.52719033089673184</v>
      </c>
      <c r="F98" s="322">
        <f t="shared" si="97"/>
        <v>-0.28095792058610014</v>
      </c>
      <c r="H98" s="322">
        <f t="shared" si="98"/>
        <v>-0.28095792058610014</v>
      </c>
      <c r="I98" s="322">
        <f t="shared" si="99"/>
        <v>2.3672804786869728</v>
      </c>
      <c r="J98" s="322">
        <f t="shared" si="100"/>
        <v>2.1659859957970262</v>
      </c>
      <c r="L98" t="str">
        <f t="shared" si="101"/>
        <v>54 Textiles, printing and other skilled trades</v>
      </c>
      <c r="M98" s="322">
        <f t="shared" si="102"/>
        <v>-3.4723769356015177</v>
      </c>
      <c r="N98" s="322">
        <f t="shared" si="102"/>
        <v>-10.060764919315934</v>
      </c>
      <c r="O98" s="322">
        <f t="shared" si="102"/>
        <v>0.44481522501538251</v>
      </c>
      <c r="P98" s="322">
        <f t="shared" si="102"/>
        <v>-0.76649703476574516</v>
      </c>
      <c r="Q98" s="322">
        <f t="shared" si="103"/>
        <v>-0.36435813104567227</v>
      </c>
      <c r="S98" s="322">
        <f t="shared" si="104"/>
        <v>-0.36435813104567227</v>
      </c>
      <c r="T98" s="322">
        <f t="shared" si="105"/>
        <v>1.8572389859995875</v>
      </c>
      <c r="U98" s="322">
        <f t="shared" si="106"/>
        <v>1.5773844357490852</v>
      </c>
      <c r="W98" t="str">
        <f t="shared" si="107"/>
        <v>54 Textiles, printing and other skilled trades</v>
      </c>
      <c r="X98" s="322">
        <f t="shared" si="108"/>
        <v>-3.0434215431579759</v>
      </c>
      <c r="Y98" s="322">
        <f t="shared" si="108"/>
        <v>14.890427158474729</v>
      </c>
      <c r="Z98" s="322">
        <f t="shared" si="108"/>
        <v>-0.13032761316614794</v>
      </c>
      <c r="AA98" s="322">
        <f t="shared" si="108"/>
        <v>-0.17527126183447539</v>
      </c>
      <c r="AB98" s="322">
        <f t="shared" si="109"/>
        <v>-0.16029229335854378</v>
      </c>
      <c r="AD98" s="322">
        <f t="shared" si="110"/>
        <v>-0.16029229335854378</v>
      </c>
      <c r="AE98" s="322">
        <f t="shared" si="111"/>
        <v>3.0568359153503977</v>
      </c>
      <c r="AF98" s="322">
        <f t="shared" si="112"/>
        <v>2.9521091668462951</v>
      </c>
    </row>
    <row r="99" spans="1:32">
      <c r="A99" t="str">
        <f t="shared" si="95"/>
        <v>61 Caring personal service occupations</v>
      </c>
      <c r="B99" s="322">
        <f t="shared" si="96"/>
        <v>1.5911233789775325</v>
      </c>
      <c r="C99" s="322">
        <f t="shared" si="96"/>
        <v>-3.2946756072271932</v>
      </c>
      <c r="D99" s="322">
        <f t="shared" si="96"/>
        <v>0.87416262505255471</v>
      </c>
      <c r="E99" s="322">
        <f t="shared" si="96"/>
        <v>0.84840468771609778</v>
      </c>
      <c r="F99" s="322">
        <f t="shared" si="97"/>
        <v>0.85698993594331974</v>
      </c>
      <c r="H99" s="322">
        <f t="shared" si="98"/>
        <v>0.85698993594331974</v>
      </c>
      <c r="I99" s="322">
        <f t="shared" si="99"/>
        <v>3.2146195911036068</v>
      </c>
      <c r="J99" s="322">
        <f t="shared" si="100"/>
        <v>3.7772079089427146</v>
      </c>
      <c r="L99" t="str">
        <f t="shared" si="101"/>
        <v>61 Caring personal service occupations</v>
      </c>
      <c r="M99" s="322">
        <f t="shared" si="102"/>
        <v>1.1406224810681209</v>
      </c>
      <c r="N99" s="322">
        <f t="shared" si="102"/>
        <v>-4.3801538165890381</v>
      </c>
      <c r="O99" s="322">
        <f t="shared" si="102"/>
        <v>3.474731905306272</v>
      </c>
      <c r="P99" s="322">
        <f t="shared" si="102"/>
        <v>1.2886476663975799</v>
      </c>
      <c r="Q99" s="322">
        <f t="shared" si="103"/>
        <v>2.012161976642779</v>
      </c>
      <c r="S99" s="322">
        <f t="shared" si="104"/>
        <v>2.012161976642779</v>
      </c>
      <c r="T99" s="322">
        <f t="shared" si="105"/>
        <v>2.8980267018085426</v>
      </c>
      <c r="U99" s="322">
        <f t="shared" si="106"/>
        <v>4.3103673304876189</v>
      </c>
      <c r="W99" t="str">
        <f t="shared" si="107"/>
        <v>61 Caring personal service occupations</v>
      </c>
      <c r="X99" s="322">
        <f t="shared" si="108"/>
        <v>1.6464274061344764</v>
      </c>
      <c r="Y99" s="322">
        <f t="shared" si="108"/>
        <v>-3.163074154647294</v>
      </c>
      <c r="Z99" s="322">
        <f t="shared" si="108"/>
        <v>0.54421411416385457</v>
      </c>
      <c r="AA99" s="322">
        <f t="shared" si="108"/>
        <v>0.78617787125294658</v>
      </c>
      <c r="AB99" s="322">
        <f t="shared" si="109"/>
        <v>0.70545865514246575</v>
      </c>
      <c r="AD99" s="322">
        <f t="shared" si="110"/>
        <v>0.70545865514246575</v>
      </c>
      <c r="AE99" s="322">
        <f t="shared" si="111"/>
        <v>3.2516242654331506</v>
      </c>
      <c r="AF99" s="322">
        <f t="shared" si="112"/>
        <v>3.710736517031088</v>
      </c>
    </row>
    <row r="100" spans="1:32">
      <c r="A100" t="str">
        <f t="shared" si="95"/>
        <v>62 Leisure, travel and related personal service occupations</v>
      </c>
      <c r="B100" s="322">
        <f t="shared" si="96"/>
        <v>-3.3280468770378491</v>
      </c>
      <c r="C100" s="322">
        <f t="shared" si="96"/>
        <v>-8.43974979631823</v>
      </c>
      <c r="D100" s="322">
        <f t="shared" si="96"/>
        <v>-1.5748271236748157</v>
      </c>
      <c r="E100" s="322">
        <f t="shared" si="96"/>
        <v>-8.0715107663675845E-2</v>
      </c>
      <c r="F100" s="322">
        <f t="shared" si="97"/>
        <v>-0.58125569202476246</v>
      </c>
      <c r="H100" s="322">
        <f t="shared" si="98"/>
        <v>-0.58125569202476246</v>
      </c>
      <c r="I100" s="322">
        <f t="shared" si="99"/>
        <v>2.6226706020711976</v>
      </c>
      <c r="J100" s="322">
        <f t="shared" si="100"/>
        <v>2.2234958932797699</v>
      </c>
      <c r="L100" t="str">
        <f t="shared" si="101"/>
        <v>62 Leisure, travel and related personal service occupations</v>
      </c>
      <c r="M100" s="322">
        <f t="shared" si="102"/>
        <v>-1.6073141776444144</v>
      </c>
      <c r="N100" s="322">
        <f t="shared" si="102"/>
        <v>-3.7627231538109429</v>
      </c>
      <c r="O100" s="322">
        <f t="shared" si="102"/>
        <v>-0.86762989517630285</v>
      </c>
      <c r="P100" s="322">
        <f t="shared" si="102"/>
        <v>0.25702131933413863</v>
      </c>
      <c r="Q100" s="322">
        <f t="shared" si="103"/>
        <v>-0.11927299594571839</v>
      </c>
      <c r="S100" s="322">
        <f t="shared" si="104"/>
        <v>-0.11927299594571839</v>
      </c>
      <c r="T100" s="322">
        <f t="shared" si="105"/>
        <v>2.3675005711881747</v>
      </c>
      <c r="U100" s="322">
        <f t="shared" si="106"/>
        <v>2.281758311545623</v>
      </c>
      <c r="W100" t="str">
        <f t="shared" si="107"/>
        <v>62 Leisure, travel and related personal service occupations</v>
      </c>
      <c r="X100" s="322">
        <f t="shared" si="108"/>
        <v>-3.9761742737010275</v>
      </c>
      <c r="Y100" s="322">
        <f t="shared" si="108"/>
        <v>-10.311742420026349</v>
      </c>
      <c r="Z100" s="322">
        <f t="shared" si="108"/>
        <v>-1.8848971364603173</v>
      </c>
      <c r="AA100" s="322">
        <f t="shared" si="108"/>
        <v>-0.23688078149982639</v>
      </c>
      <c r="AB100" s="322">
        <f t="shared" si="109"/>
        <v>-0.78927253300933309</v>
      </c>
      <c r="AD100" s="322">
        <f t="shared" si="110"/>
        <v>-0.78927253300933309</v>
      </c>
      <c r="AE100" s="322">
        <f t="shared" si="111"/>
        <v>2.7295904229523105</v>
      </c>
      <c r="AF100" s="322">
        <f t="shared" si="112"/>
        <v>2.1983300024623009</v>
      </c>
    </row>
    <row r="101" spans="1:32">
      <c r="A101" t="str">
        <f t="shared" si="95"/>
        <v>63 Community and civil enforcement occupations</v>
      </c>
      <c r="B101" s="322">
        <f t="shared" si="96"/>
        <v>-4.7628083290662921</v>
      </c>
      <c r="C101" s="322">
        <f t="shared" si="96"/>
        <v>21.627009712358291</v>
      </c>
      <c r="D101" s="322">
        <f t="shared" si="96"/>
        <v>-5.2734162135968372</v>
      </c>
      <c r="E101" s="322">
        <f t="shared" si="96"/>
        <v>0.95971005104840135</v>
      </c>
      <c r="F101" s="322">
        <f t="shared" si="97"/>
        <v>-1.1622869012287262</v>
      </c>
      <c r="H101" s="322">
        <f t="shared" si="98"/>
        <v>-1.1622869012287262</v>
      </c>
      <c r="I101" s="322">
        <f t="shared" si="99"/>
        <v>2.2791518866453142</v>
      </c>
      <c r="J101" s="322">
        <f t="shared" si="100"/>
        <v>1.4517187143774146</v>
      </c>
      <c r="L101" t="str">
        <f t="shared" si="101"/>
        <v>63 Community and civil enforcement occupations</v>
      </c>
      <c r="M101" s="322">
        <f t="shared" si="102"/>
        <v>-8.3514798837400761</v>
      </c>
      <c r="N101" s="322">
        <f t="shared" si="102"/>
        <v>40.790826385569346</v>
      </c>
      <c r="O101" s="322">
        <f t="shared" si="102"/>
        <v>-10.027411690448284</v>
      </c>
      <c r="P101" s="322">
        <f t="shared" si="102"/>
        <v>1.4921372684905787</v>
      </c>
      <c r="Q101" s="322">
        <f t="shared" si="103"/>
        <v>-2.502906240561642</v>
      </c>
      <c r="S101" s="322">
        <f t="shared" si="104"/>
        <v>-2.502906240561642</v>
      </c>
      <c r="T101" s="322">
        <f t="shared" si="105"/>
        <v>1.5834218773109976</v>
      </c>
      <c r="U101" s="322">
        <f t="shared" si="106"/>
        <v>-0.3452238450258438</v>
      </c>
      <c r="W101" t="str">
        <f t="shared" si="107"/>
        <v>63 Community and civil enforcement occupations</v>
      </c>
      <c r="X101" s="322">
        <f t="shared" si="108"/>
        <v>5.3751694836777775</v>
      </c>
      <c r="Y101" s="322">
        <f t="shared" si="108"/>
        <v>-16.773824882960998</v>
      </c>
      <c r="Z101" s="322">
        <f t="shared" si="108"/>
        <v>6.1787313716602288</v>
      </c>
      <c r="AA101" s="322">
        <f t="shared" si="108"/>
        <v>0.12161694831946956</v>
      </c>
      <c r="AB101" s="322">
        <f t="shared" si="109"/>
        <v>2.1012550461583013</v>
      </c>
      <c r="AD101" s="322">
        <f t="shared" si="110"/>
        <v>2.1012550461583013</v>
      </c>
      <c r="AE101" s="322">
        <f t="shared" si="111"/>
        <v>4.2416544400583289</v>
      </c>
      <c r="AF101" s="322">
        <f t="shared" si="112"/>
        <v>5.4946965680466864</v>
      </c>
    </row>
    <row r="102" spans="1:32">
      <c r="A102" t="str">
        <f t="shared" si="95"/>
        <v>71 Sales occupations</v>
      </c>
      <c r="B102" s="322">
        <f t="shared" si="96"/>
        <v>-2.651182269893948</v>
      </c>
      <c r="C102" s="322">
        <f t="shared" si="96"/>
        <v>-1.578970408577518</v>
      </c>
      <c r="D102" s="322">
        <f t="shared" si="96"/>
        <v>-0.69526966492304831</v>
      </c>
      <c r="E102" s="322">
        <f t="shared" si="96"/>
        <v>-0.49005777806445661</v>
      </c>
      <c r="F102" s="322">
        <f t="shared" si="97"/>
        <v>-0.55850881574924793</v>
      </c>
      <c r="H102" s="322">
        <f t="shared" si="98"/>
        <v>-0.55850881574924793</v>
      </c>
      <c r="I102" s="322">
        <f t="shared" si="99"/>
        <v>2.4298932692945474</v>
      </c>
      <c r="J102" s="322">
        <f t="shared" si="100"/>
        <v>2.0355983069996864</v>
      </c>
      <c r="L102" t="str">
        <f t="shared" si="101"/>
        <v>71 Sales occupations</v>
      </c>
      <c r="M102" s="322">
        <f t="shared" si="102"/>
        <v>-1.3394314527234941</v>
      </c>
      <c r="N102" s="322">
        <f t="shared" si="102"/>
        <v>-0.41905090262850386</v>
      </c>
      <c r="O102" s="322">
        <f t="shared" si="102"/>
        <v>-0.37810841862183642</v>
      </c>
      <c r="P102" s="322">
        <f t="shared" si="102"/>
        <v>-0.26074895198656689</v>
      </c>
      <c r="Q102" s="322">
        <f t="shared" si="103"/>
        <v>-0.29988412784954788</v>
      </c>
      <c r="S102" s="322">
        <f t="shared" si="104"/>
        <v>-0.29988412784954788</v>
      </c>
      <c r="T102" s="322">
        <f t="shared" si="105"/>
        <v>1.8573934485609511</v>
      </c>
      <c r="U102" s="322">
        <f t="shared" si="106"/>
        <v>1.6268074266049481</v>
      </c>
      <c r="W102" t="str">
        <f t="shared" si="107"/>
        <v>71 Sales occupations</v>
      </c>
      <c r="X102" s="322">
        <f t="shared" si="108"/>
        <v>-3.5662362165876371</v>
      </c>
      <c r="Y102" s="322">
        <f t="shared" si="108"/>
        <v>-2.4355841378937426</v>
      </c>
      <c r="Z102" s="322">
        <f t="shared" si="108"/>
        <v>-0.93704441743529543</v>
      </c>
      <c r="AA102" s="322">
        <f t="shared" si="108"/>
        <v>-0.67116772312547646</v>
      </c>
      <c r="AB102" s="322">
        <f t="shared" si="109"/>
        <v>-0.75987248133441154</v>
      </c>
      <c r="AD102" s="322">
        <f t="shared" si="110"/>
        <v>-0.75987248133441154</v>
      </c>
      <c r="AE102" s="322">
        <f t="shared" si="111"/>
        <v>2.8336168212629742</v>
      </c>
      <c r="AF102" s="322">
        <f t="shared" si="112"/>
        <v>2.3292513032894702</v>
      </c>
    </row>
    <row r="103" spans="1:32">
      <c r="A103" t="str">
        <f t="shared" si="95"/>
        <v>72 Customer service occupations</v>
      </c>
      <c r="B103" s="322">
        <f t="shared" si="96"/>
        <v>-0.66873433519801795</v>
      </c>
      <c r="C103" s="322">
        <f t="shared" si="96"/>
        <v>2.7220280449508527</v>
      </c>
      <c r="D103" s="322">
        <f t="shared" si="96"/>
        <v>2.2504702823146205</v>
      </c>
      <c r="E103" s="322">
        <f t="shared" si="96"/>
        <v>1.0415785798042476</v>
      </c>
      <c r="F103" s="322">
        <f t="shared" si="97"/>
        <v>1.4429460177838527</v>
      </c>
      <c r="H103" s="322">
        <f t="shared" si="98"/>
        <v>1.4429460177838527</v>
      </c>
      <c r="I103" s="322">
        <f t="shared" si="99"/>
        <v>2.8161244798928786</v>
      </c>
      <c r="J103" s="322">
        <f t="shared" si="100"/>
        <v>3.8268875528502333</v>
      </c>
      <c r="L103" t="str">
        <f t="shared" si="101"/>
        <v>72 Customer service occupations</v>
      </c>
      <c r="M103" s="322">
        <f t="shared" si="102"/>
        <v>-4.8597369156670123</v>
      </c>
      <c r="N103" s="322">
        <f t="shared" si="102"/>
        <v>15.84012027305539</v>
      </c>
      <c r="O103" s="322">
        <f t="shared" si="102"/>
        <v>4.7357595787961504</v>
      </c>
      <c r="P103" s="322">
        <f t="shared" si="102"/>
        <v>1.3290237400153115</v>
      </c>
      <c r="Q103" s="322">
        <f t="shared" si="103"/>
        <v>2.4521086021363159</v>
      </c>
      <c r="S103" s="322">
        <f t="shared" si="104"/>
        <v>2.4521086021363159</v>
      </c>
      <c r="T103" s="322">
        <f t="shared" si="105"/>
        <v>2.4801535240766004</v>
      </c>
      <c r="U103" s="322">
        <f t="shared" si="106"/>
        <v>4.3067123330128743</v>
      </c>
      <c r="W103" t="str">
        <f t="shared" si="107"/>
        <v>72 Customer service occupations</v>
      </c>
      <c r="X103" s="322">
        <f t="shared" si="108"/>
        <v>2.1872105106589546</v>
      </c>
      <c r="Y103" s="322">
        <f t="shared" si="108"/>
        <v>-4.7499549569335775</v>
      </c>
      <c r="Z103" s="322">
        <f t="shared" si="108"/>
        <v>0.37559952002639285</v>
      </c>
      <c r="AA103" s="322">
        <f t="shared" si="108"/>
        <v>0.78929500932136687</v>
      </c>
      <c r="AB103" s="322">
        <f t="shared" si="109"/>
        <v>0.65120741069693011</v>
      </c>
      <c r="AD103" s="322">
        <f t="shared" si="110"/>
        <v>0.65120741069693011</v>
      </c>
      <c r="AE103" s="322">
        <f t="shared" si="111"/>
        <v>3.0401603963363</v>
      </c>
      <c r="AF103" s="322">
        <f t="shared" si="112"/>
        <v>3.4753193528924253</v>
      </c>
    </row>
    <row r="104" spans="1:32">
      <c r="A104" t="str">
        <f t="shared" si="95"/>
        <v>81 Process, plant and machine operatives</v>
      </c>
      <c r="B104" s="322">
        <f t="shared" si="96"/>
        <v>-1.4209112760451226</v>
      </c>
      <c r="C104" s="322">
        <f t="shared" si="96"/>
        <v>-15.430500051384378</v>
      </c>
      <c r="D104" s="322">
        <f t="shared" si="96"/>
        <v>0.64988472179161594</v>
      </c>
      <c r="E104" s="322">
        <f t="shared" si="96"/>
        <v>-0.80466339991328573</v>
      </c>
      <c r="F104" s="322">
        <f t="shared" si="97"/>
        <v>-0.32216476551590878</v>
      </c>
      <c r="H104" s="322">
        <f t="shared" si="98"/>
        <v>-0.32216476551590878</v>
      </c>
      <c r="I104" s="322">
        <f t="shared" si="99"/>
        <v>2.2908224133041166</v>
      </c>
      <c r="J104" s="322">
        <f t="shared" si="100"/>
        <v>2.0577391772211406</v>
      </c>
      <c r="L104" t="str">
        <f t="shared" si="101"/>
        <v>81 Process, plant and machine operatives</v>
      </c>
      <c r="M104" s="322">
        <f t="shared" si="102"/>
        <v>-2.0809040110014165</v>
      </c>
      <c r="N104" s="322">
        <f t="shared" si="102"/>
        <v>-15.944349969173665</v>
      </c>
      <c r="O104" s="322">
        <f t="shared" si="102"/>
        <v>-4.4258471419889034E-2</v>
      </c>
      <c r="P104" s="322">
        <f t="shared" si="102"/>
        <v>-1.0819311431632839</v>
      </c>
      <c r="Q104" s="322">
        <f t="shared" si="103"/>
        <v>-0.73724274364790343</v>
      </c>
      <c r="S104" s="322">
        <f t="shared" si="104"/>
        <v>-0.73724274364790343</v>
      </c>
      <c r="T104" s="322">
        <f t="shared" si="105"/>
        <v>2.0321850195674562</v>
      </c>
      <c r="U104" s="322">
        <f t="shared" si="106"/>
        <v>1.4835427035736481</v>
      </c>
      <c r="W104" t="str">
        <f t="shared" si="107"/>
        <v>81 Process, plant and machine operatives</v>
      </c>
      <c r="X104" s="322">
        <f t="shared" si="108"/>
        <v>1.1632283239829011</v>
      </c>
      <c r="Y104" s="322">
        <f t="shared" si="108"/>
        <v>-13.575284501251673</v>
      </c>
      <c r="Z104" s="322">
        <f t="shared" si="108"/>
        <v>2.9467019795426319</v>
      </c>
      <c r="AA104" s="322">
        <f t="shared" si="108"/>
        <v>-4.6583188169857515E-3</v>
      </c>
      <c r="AB104" s="322">
        <f t="shared" si="109"/>
        <v>0.96960528126170953</v>
      </c>
      <c r="AD104" s="322">
        <f t="shared" si="110"/>
        <v>0.96960528126170953</v>
      </c>
      <c r="AE104" s="322">
        <f t="shared" si="111"/>
        <v>3.1328258224083028</v>
      </c>
      <c r="AF104" s="322">
        <f t="shared" si="112"/>
        <v>3.7779385760684514</v>
      </c>
    </row>
    <row r="105" spans="1:32">
      <c r="A105" t="str">
        <f t="shared" si="95"/>
        <v>82 Transport and mobile machine drivers and operatives</v>
      </c>
      <c r="B105" s="322">
        <f t="shared" si="96"/>
        <v>0.73026879235229547</v>
      </c>
      <c r="C105" s="322">
        <f t="shared" si="96"/>
        <v>-11.515645795415653</v>
      </c>
      <c r="D105" s="322">
        <f t="shared" si="96"/>
        <v>0.68653738717692203</v>
      </c>
      <c r="E105" s="322">
        <f t="shared" si="96"/>
        <v>-2.4133988329189116E-2</v>
      </c>
      <c r="F105" s="322">
        <f t="shared" si="97"/>
        <v>0.2121973700340174</v>
      </c>
      <c r="H105" s="322">
        <f t="shared" si="98"/>
        <v>0.2121973700340174</v>
      </c>
      <c r="I105" s="322">
        <f t="shared" si="99"/>
        <v>2.9535761770958402</v>
      </c>
      <c r="J105" s="322">
        <f t="shared" si="100"/>
        <v>3.0954907079902894</v>
      </c>
      <c r="L105" t="str">
        <f t="shared" si="101"/>
        <v>82 Transport and mobile machine drivers and operatives</v>
      </c>
      <c r="M105" s="322">
        <f t="shared" si="102"/>
        <v>0.69899151730565823</v>
      </c>
      <c r="N105" s="322">
        <f t="shared" si="102"/>
        <v>-11.29881505077288</v>
      </c>
      <c r="O105" s="322">
        <f t="shared" si="102"/>
        <v>0.41179644688560391</v>
      </c>
      <c r="P105" s="322">
        <f t="shared" si="102"/>
        <v>-0.10165989379182783</v>
      </c>
      <c r="Q105" s="322">
        <f t="shared" si="103"/>
        <v>6.919982564945748E-2</v>
      </c>
      <c r="S105" s="322">
        <f t="shared" si="104"/>
        <v>6.919982564945748E-2</v>
      </c>
      <c r="T105" s="322">
        <f t="shared" si="105"/>
        <v>2.8862108740295378</v>
      </c>
      <c r="U105" s="322">
        <f t="shared" si="106"/>
        <v>2.9327516702215783</v>
      </c>
      <c r="W105" t="str">
        <f t="shared" si="107"/>
        <v>82 Transport and mobile machine drivers and operatives</v>
      </c>
      <c r="X105" s="322">
        <f t="shared" si="108"/>
        <v>1.3795484863168062</v>
      </c>
      <c r="Y105" s="322">
        <f t="shared" si="108"/>
        <v>-15.941752430290833</v>
      </c>
      <c r="Z105" s="322">
        <f t="shared" si="108"/>
        <v>5.9846233863331655</v>
      </c>
      <c r="AA105" s="322">
        <f t="shared" si="108"/>
        <v>1.1788492046424848</v>
      </c>
      <c r="AB105" s="322">
        <f t="shared" si="109"/>
        <v>2.7560600715746286</v>
      </c>
      <c r="AD105" s="322">
        <f t="shared" si="110"/>
        <v>2.7560600715746286</v>
      </c>
      <c r="AE105" s="322">
        <f t="shared" si="111"/>
        <v>4.2728436112739798</v>
      </c>
      <c r="AF105" s="322">
        <f t="shared" si="112"/>
        <v>5.9410980137990288</v>
      </c>
    </row>
    <row r="106" spans="1:32">
      <c r="A106" t="str">
        <f t="shared" si="95"/>
        <v>91 Elementary trades and related occupations</v>
      </c>
      <c r="B106" s="322">
        <f t="shared" si="96"/>
        <v>-3.8155053733908484</v>
      </c>
      <c r="C106" s="322">
        <f t="shared" si="96"/>
        <v>-12.552287827128673</v>
      </c>
      <c r="D106" s="322">
        <f t="shared" si="96"/>
        <v>11.789413787200198</v>
      </c>
      <c r="E106" s="322">
        <f t="shared" si="96"/>
        <v>0.9486200430991909</v>
      </c>
      <c r="F106" s="322">
        <f t="shared" si="97"/>
        <v>4.4400691329606889</v>
      </c>
      <c r="H106" s="322">
        <f t="shared" si="98"/>
        <v>4.4400691329606889</v>
      </c>
      <c r="I106" s="322">
        <f t="shared" si="99"/>
        <v>4.072865891566213</v>
      </c>
      <c r="J106" s="322">
        <f t="shared" si="100"/>
        <v>6.9471596668760682</v>
      </c>
      <c r="L106" t="str">
        <f t="shared" si="101"/>
        <v>91 Elementary trades and related occupations</v>
      </c>
      <c r="M106" s="322">
        <f t="shared" si="102"/>
        <v>-3.7689729985524889</v>
      </c>
      <c r="N106" s="322">
        <f t="shared" si="102"/>
        <v>-10.021585497800645</v>
      </c>
      <c r="O106" s="322">
        <f t="shared" si="102"/>
        <v>6.1516621139193317</v>
      </c>
      <c r="P106" s="322">
        <f t="shared" si="102"/>
        <v>0.52031898936752974</v>
      </c>
      <c r="Q106" s="322">
        <f t="shared" si="103"/>
        <v>2.3634319985897712</v>
      </c>
      <c r="S106" s="322">
        <f t="shared" si="104"/>
        <v>2.3634319985897712</v>
      </c>
      <c r="T106" s="322">
        <f t="shared" si="105"/>
        <v>2.5498597590912553</v>
      </c>
      <c r="U106" s="322">
        <f t="shared" si="106"/>
        <v>4.2928269348311066</v>
      </c>
      <c r="W106" t="str">
        <f t="shared" si="107"/>
        <v>91 Elementary trades and related occupations</v>
      </c>
      <c r="X106" s="322">
        <f t="shared" si="108"/>
        <v>-3.9573833666606273</v>
      </c>
      <c r="Y106" s="322">
        <f t="shared" si="108"/>
        <v>-20.306349567192672</v>
      </c>
      <c r="Z106" s="322">
        <f t="shared" si="108"/>
        <v>25.575953662336183</v>
      </c>
      <c r="AA106" s="322">
        <f t="shared" si="108"/>
        <v>1.5591779096915337</v>
      </c>
      <c r="AB106" s="322">
        <f t="shared" si="109"/>
        <v>9.0054669099422835</v>
      </c>
      <c r="AD106" s="322">
        <f t="shared" si="110"/>
        <v>9.0054669099422835</v>
      </c>
      <c r="AE106" s="322">
        <f t="shared" si="111"/>
        <v>7.7622651543508558</v>
      </c>
      <c r="AF106" s="322">
        <f t="shared" si="112"/>
        <v>12.321773405035486</v>
      </c>
    </row>
    <row r="107" spans="1:32">
      <c r="A107" t="str">
        <f t="shared" si="95"/>
        <v>92 Elementary administration and service occupations</v>
      </c>
      <c r="B107" s="322">
        <f t="shared" si="96"/>
        <v>-2.1026596902286032</v>
      </c>
      <c r="C107" s="322">
        <f t="shared" si="96"/>
        <v>-9.7636428253641494</v>
      </c>
      <c r="D107" s="322">
        <f t="shared" si="96"/>
        <v>-2.4902647967316005</v>
      </c>
      <c r="E107" s="322">
        <f t="shared" si="96"/>
        <v>-1.1881376702847057</v>
      </c>
      <c r="F107" s="322">
        <f t="shared" si="97"/>
        <v>-1.6241007083510617</v>
      </c>
      <c r="H107" s="322">
        <f t="shared" si="98"/>
        <v>-1.6241007083510617</v>
      </c>
      <c r="I107" s="322">
        <f t="shared" si="99"/>
        <v>2.3548733970955027</v>
      </c>
      <c r="J107" s="322">
        <f t="shared" si="100"/>
        <v>1.2232618435946918</v>
      </c>
      <c r="L107" t="str">
        <f t="shared" si="101"/>
        <v>92 Elementary administration and service occupations</v>
      </c>
      <c r="M107" s="322">
        <f t="shared" si="102"/>
        <v>-4.126296238554195</v>
      </c>
      <c r="N107" s="322">
        <f t="shared" si="102"/>
        <v>-5.873569691226221</v>
      </c>
      <c r="O107" s="322">
        <f t="shared" si="102"/>
        <v>-0.51929926060014786</v>
      </c>
      <c r="P107" s="322">
        <f t="shared" si="102"/>
        <v>-0.91728129068366915</v>
      </c>
      <c r="Q107" s="322">
        <f t="shared" si="103"/>
        <v>-0.78479783650308166</v>
      </c>
      <c r="S107" s="322">
        <f t="shared" si="104"/>
        <v>-0.78479783650308166</v>
      </c>
      <c r="T107" s="322">
        <f t="shared" si="105"/>
        <v>2.1839353382181015</v>
      </c>
      <c r="U107" s="322">
        <f t="shared" si="106"/>
        <v>1.6129733419124381</v>
      </c>
      <c r="W107" t="str">
        <f t="shared" si="107"/>
        <v>92 Elementary administration and service occupations</v>
      </c>
      <c r="X107" s="322">
        <f t="shared" si="108"/>
        <v>-5.6005366404288104E-2</v>
      </c>
      <c r="Y107" s="322">
        <f t="shared" si="108"/>
        <v>-13.3095268696114</v>
      </c>
      <c r="Z107" s="322">
        <f t="shared" si="108"/>
        <v>-4.611738237501295</v>
      </c>
      <c r="AA107" s="322">
        <f t="shared" si="108"/>
        <v>-1.5281891286414107</v>
      </c>
      <c r="AB107" s="322">
        <f t="shared" si="109"/>
        <v>-2.5669581685850984</v>
      </c>
      <c r="AD107" s="322">
        <f t="shared" si="110"/>
        <v>-2.5669581685850984</v>
      </c>
      <c r="AE107" s="322">
        <f t="shared" si="111"/>
        <v>2.5202060331137366</v>
      </c>
      <c r="AF107" s="322">
        <f t="shared" si="112"/>
        <v>0.81570243071784621</v>
      </c>
    </row>
    <row r="108" spans="1:32">
      <c r="C108" s="322"/>
      <c r="F108" s="322"/>
      <c r="H108" s="322"/>
      <c r="I108" s="322"/>
      <c r="J108" s="322"/>
      <c r="N108" s="322"/>
      <c r="Q108" s="322"/>
      <c r="S108" s="322"/>
      <c r="T108" s="322"/>
      <c r="U108" s="322"/>
      <c r="Y108" s="322"/>
      <c r="AB108" s="322"/>
      <c r="AD108" s="322"/>
      <c r="AE108" s="322"/>
      <c r="AF108" s="322"/>
    </row>
    <row r="109" spans="1:32">
      <c r="A109" s="22" t="str">
        <f>A35</f>
        <v>All occupations</v>
      </c>
      <c r="B109" s="361">
        <f>IF(AND(C$6-B$6 &lt;&gt; 0,B35&lt;&gt;0,C35&lt;&gt;0),(EXP(LN(C35/B35)/(C$6-B$6))-1)*100,0)</f>
        <v>0.21535006256827582</v>
      </c>
      <c r="C109" s="361">
        <f>IF(AND(D$6-C$6 &lt;&gt; 0,C35&lt;&gt;0,D35&lt;&gt;0),(EXP(LN(D35/C35)/(D$6-C$6))-1)*100,0)</f>
        <v>-2.693893879760223</v>
      </c>
      <c r="D109" s="361">
        <f>IF(AND(E$6-D$6 &lt;&gt; 0,D35&lt;&gt;0,E35&lt;&gt;0),(EXP(LN(E35/D35)/(E$6-D$6))-1)*100,0)</f>
        <v>0.47645957720003906</v>
      </c>
      <c r="E109" s="361">
        <f>IF(AND(F$6-E$6 &lt;&gt; 0,E35&lt;&gt;0,F35&lt;&gt;0),(EXP(LN(F35/E35)/(F$6-E$6))-1)*100,0)</f>
        <v>0.26862934467042354</v>
      </c>
      <c r="F109" s="361">
        <f t="shared" ref="F109" si="113">IF(AND(F$6-D$6 &lt;&gt; 0,D35&lt;&gt;0,F35&lt;&gt;0),(EXP(LN(F35/D35)/(F$6-D$6))-1)*100,0)</f>
        <v>0.33785827979151417</v>
      </c>
      <c r="H109" s="361">
        <f t="shared" ref="H109" si="114">IF($F$6-$D$6 &lt;&gt; 0,(EXP(LN(1+(H72/100))/($F$6-$D$6))-1)*100,0)</f>
        <v>0.33785827979151417</v>
      </c>
      <c r="I109" s="361">
        <f>IF(D35&gt;0,((1+(I35/D35))^(1/($F$6-$D$6))-1)*100,0)</f>
        <v>2.7180424293477223</v>
      </c>
      <c r="J109" s="361">
        <f t="shared" ref="J109" si="115">IF($F$6-$D$6 &lt;&gt; 0,(EXP(LN(1+(J72/100))/($F$6-$D$6))-1)*100,0)</f>
        <v>2.9519500204390647</v>
      </c>
      <c r="L109" s="22" t="str">
        <f>L35</f>
        <v>All occupations</v>
      </c>
      <c r="M109" s="361">
        <f>IF(AND(N$6-M$6 &lt;&gt; 0,M35&lt;&gt;0,N35&lt;&gt;0),(EXP(LN(N35/M35)/(N$6-M$6))-1)*100,0)</f>
        <v>-0.23164018272505693</v>
      </c>
      <c r="N109" s="361">
        <f>IF(AND(O$6-N$6 &lt;&gt; 0,N35&lt;&gt;0,O35&lt;&gt;0),(EXP(LN(O35/N35)/(O$6-N$6))-1)*100,0)</f>
        <v>-3.915280958209022</v>
      </c>
      <c r="O109" s="361">
        <f>IF(AND(P$6-O$6 &lt;&gt; 0,O35&lt;&gt;0,P35&lt;&gt;0),(EXP(LN(P35/O35)/(P$6-O$6))-1)*100,0)</f>
        <v>0.35771624244251843</v>
      </c>
      <c r="P109" s="361">
        <f>IF(AND(Q$6-P$6 &lt;&gt; 0,P35&lt;&gt;0,Q35&lt;&gt;0),(EXP(LN(Q35/P35)/(Q$6-P$6))-1)*100,0)</f>
        <v>0.13148431124847537</v>
      </c>
      <c r="Q109" s="361">
        <f t="shared" ref="Q109" si="116">IF(AND(Q$6-O$6 &lt;&gt; 0,O35&lt;&gt;0,Q35&lt;&gt;0),(EXP(LN(Q35/O35)/(Q$6-O$6))-1)*100,0)</f>
        <v>0.20683823318077277</v>
      </c>
      <c r="S109" s="361">
        <f t="shared" ref="S109" si="117">IF($F$6-$D$6 &lt;&gt; 0,(EXP(LN(1+(S72/100))/($F$6-$D$6))-1)*100,0)</f>
        <v>0.20683823318077277</v>
      </c>
      <c r="T109" s="361">
        <f t="shared" ref="T109" si="118">IF(O35&gt;0,((1+(T35/O35))^(1/($F$6-$D$6))-1)*100,0)</f>
        <v>2.3106264040359648</v>
      </c>
      <c r="U109" s="361">
        <f t="shared" ref="U109" si="119">IF($F$6-$D$6 &lt;&gt; 0,(EXP(LN(1+(U72/100))/($F$6-$D$6))-1)*100,0)</f>
        <v>2.4614784854774419</v>
      </c>
      <c r="W109" s="22" t="str">
        <f>W35</f>
        <v>All occupations</v>
      </c>
      <c r="X109" s="361">
        <f>IF(AND(Y$6-X$6 &lt;&gt; 0,X35&lt;&gt;0,Y35&lt;&gt;0),(EXP(LN(Y35/X35)/(Y$6-X$6))-1)*100,0)</f>
        <v>0.75544374979883422</v>
      </c>
      <c r="Y109" s="361">
        <f>IF(AND(Z$6-Y$6 &lt;&gt; 0,Y35&lt;&gt;0,Z35&lt;&gt;0),(EXP(LN(Z35/Y35)/(Z$6-Y$6))-1)*100,0)</f>
        <v>-1.2539764954082488</v>
      </c>
      <c r="Z109" s="361">
        <f>IF(AND(AA$6-Z$6 &lt;&gt; 0,Z35&lt;&gt;0,AA35&lt;&gt;0),(EXP(LN(AA35/Z35)/(AA$6-Z$6))-1)*100,0)</f>
        <v>0.61198791198477931</v>
      </c>
      <c r="AA109" s="361">
        <f>IF(AND(AB$6-AA$6 &lt;&gt; 0,AA35&lt;&gt;0,AB35&lt;&gt;0),(EXP(LN(AB35/AA35)/(AB$6-AA$6))-1)*100,0)</f>
        <v>0.42196464632742181</v>
      </c>
      <c r="AB109" s="361">
        <f t="shared" ref="AB109" si="120">IF(AND(AB$6-Z$6 &lt;&gt; 0,Z35&lt;&gt;0,AB35&lt;&gt;0),(EXP(LN(AB35/Z35)/(AB$6-Z$6))-1)*100,0)</f>
        <v>0.4852658244766328</v>
      </c>
      <c r="AD109" s="361">
        <f t="shared" ref="AD109" si="121">IF($F$6-$D$6 &lt;&gt; 0,(EXP(LN(1+(AD72/100))/($F$6-$D$6))-1)*100,0)</f>
        <v>0.4852658244766328</v>
      </c>
      <c r="AE109" s="361">
        <f t="shared" ref="AE109" si="122">IF(Z35&gt;0,((1+(AE35/Z35))^(1/($F$6-$D$6))-1)*100,0)</f>
        <v>3.15914316901722</v>
      </c>
      <c r="AF109" s="361">
        <f t="shared" ref="AF109" si="123">IF($F$6-$D$6 &lt;&gt; 0,(EXP(LN(1+(AF72/100))/($F$6-$D$6))-1)*100,0)</f>
        <v>3.4770434080301005</v>
      </c>
    </row>
    <row r="112" spans="1:32" ht="15.75">
      <c r="A112" s="18" t="str">
        <f>CONCATENATE(A$1," (Continued)")</f>
        <v>Occupation Table 2  Employment Change by Occupation (SOC 2020) and Replacement Demand, 2015-2035, Black Country (Continued)</v>
      </c>
      <c r="L112" s="18" t="str">
        <f>CONCATENATE(L$1," (Continued)")</f>
        <v>Occupation Table 2.1  Males: Employment Change by Occupation (SOC 2020) and Replacement Demand, 2015-2035, Black Country (Continued)</v>
      </c>
      <c r="W112" s="18" t="str">
        <f>CONCATENATE(W$1," (Continued)")</f>
        <v>Occupation Table 2.2  Females: Employment Change by Occupation (SOC 2020) and Replacement Demand, 2015-2035, Black Country (Continued)</v>
      </c>
    </row>
    <row r="114" spans="1:28">
      <c r="F114" s="16" t="s">
        <v>112</v>
      </c>
      <c r="Q114" s="16" t="s">
        <v>112</v>
      </c>
      <c r="AB114" s="16" t="s">
        <v>112</v>
      </c>
    </row>
    <row r="115" spans="1:28">
      <c r="A115" s="29"/>
      <c r="B115" s="29"/>
      <c r="C115" s="29"/>
      <c r="D115" s="29"/>
      <c r="E115" s="29"/>
      <c r="F115" s="29"/>
      <c r="L115" s="29"/>
      <c r="M115" s="29"/>
      <c r="N115" s="29"/>
      <c r="O115" s="29"/>
      <c r="P115" s="29"/>
      <c r="Q115" s="29"/>
      <c r="W115" s="29"/>
      <c r="X115" s="29"/>
      <c r="Y115" s="29"/>
      <c r="Z115" s="29"/>
      <c r="AA115" s="29"/>
      <c r="AB115" s="29"/>
    </row>
    <row r="117" spans="1:28">
      <c r="A117" s="32" t="s">
        <v>118</v>
      </c>
      <c r="B117" s="52" t="str">
        <f>CONCATENATE(B$6,"-",C$6)</f>
        <v>2015-2019</v>
      </c>
      <c r="C117" s="52" t="str">
        <f>CONCATENATE(C$6,"-",D$6)</f>
        <v>2019-2020</v>
      </c>
      <c r="D117" s="52" t="str">
        <f>CONCATENATE(D$6,"-",E$6)</f>
        <v>2020-2025</v>
      </c>
      <c r="E117" s="52" t="str">
        <f>CONCATENATE(E$6,"-",F$6)</f>
        <v>2025-2035</v>
      </c>
      <c r="F117" s="52" t="str">
        <f>CONCATENATE(D$6,"-",F$6)</f>
        <v>2020-2035</v>
      </c>
      <c r="L117" s="32" t="s">
        <v>118</v>
      </c>
      <c r="M117" s="52" t="str">
        <f>CONCATENATE(M$6,"-",N$6)</f>
        <v>2015-2019</v>
      </c>
      <c r="N117" s="52" t="str">
        <f>CONCATENATE(N$6,"-",O$6)</f>
        <v>2019-2020</v>
      </c>
      <c r="O117" s="52" t="str">
        <f>CONCATENATE(O$6,"-",P$6)</f>
        <v>2020-2025</v>
      </c>
      <c r="P117" s="52" t="str">
        <f>CONCATENATE(P$6,"-",Q$6)</f>
        <v>2025-2035</v>
      </c>
      <c r="Q117" s="52" t="str">
        <f>CONCATENATE(O$6,"-",Q$6)</f>
        <v>2020-2035</v>
      </c>
      <c r="W117" s="32" t="s">
        <v>118</v>
      </c>
      <c r="X117" s="52" t="str">
        <f>CONCATENATE(X$6,"-",Y$6)</f>
        <v>2015-2019</v>
      </c>
      <c r="Y117" s="52" t="str">
        <f>CONCATENATE(Y$6,"-",Z$6)</f>
        <v>2019-2020</v>
      </c>
      <c r="Z117" s="52" t="str">
        <f>CONCATENATE(Z$6,"-",AA$6)</f>
        <v>2020-2025</v>
      </c>
      <c r="AA117" s="52" t="str">
        <f>CONCATENATE(AA$6,"-",AB$6)</f>
        <v>2025-2035</v>
      </c>
      <c r="AB117" s="52" t="str">
        <f>CONCATENATE(Z$6,"-",AB$6)</f>
        <v>2020-2035</v>
      </c>
    </row>
    <row r="118" spans="1:28">
      <c r="B118" s="19"/>
      <c r="C118" s="19"/>
      <c r="D118" s="19"/>
      <c r="E118" s="19"/>
      <c r="F118" s="19"/>
      <c r="M118" s="19"/>
      <c r="N118" s="19"/>
      <c r="O118" s="19"/>
      <c r="P118" s="19"/>
      <c r="Q118" s="19"/>
      <c r="X118" s="19"/>
      <c r="Y118" s="19"/>
      <c r="Z118" s="19"/>
      <c r="AA118" s="19"/>
      <c r="AB118" s="19"/>
    </row>
    <row r="119" spans="1:28">
      <c r="A119" t="str">
        <f t="shared" ref="A119:A144" si="124">A8</f>
        <v>11 Corporate managers and directors</v>
      </c>
      <c r="B119" s="225">
        <f t="shared" ref="B119:E144" si="125">C8-B8</f>
        <v>3.7899953487663893</v>
      </c>
      <c r="C119" s="225">
        <f t="shared" si="125"/>
        <v>0.88656836927048488</v>
      </c>
      <c r="D119" s="225">
        <f t="shared" si="125"/>
        <v>-3.3851187476117666</v>
      </c>
      <c r="E119" s="225">
        <f t="shared" si="125"/>
        <v>2.7527419050332362</v>
      </c>
      <c r="F119" s="225">
        <f t="shared" ref="F119:F144" si="126">F8-D8</f>
        <v>-0.63237684257853033</v>
      </c>
      <c r="L119" t="str">
        <f t="shared" ref="L119:L144" si="127">L8</f>
        <v>11 Corporate managers and directors</v>
      </c>
      <c r="M119" s="225">
        <f t="shared" ref="M119:P144" si="128">N8-M8</f>
        <v>1.7993135839551258</v>
      </c>
      <c r="N119" s="225">
        <f t="shared" si="128"/>
        <v>0.28808011361959274</v>
      </c>
      <c r="O119" s="225">
        <f t="shared" si="128"/>
        <v>-3.1299142075251609</v>
      </c>
      <c r="P119" s="225">
        <f t="shared" si="128"/>
        <v>0.89076316774793796</v>
      </c>
      <c r="Q119" s="225">
        <f t="shared" ref="Q119:Q144" si="129">Q8-O8</f>
        <v>-2.239151039777223</v>
      </c>
      <c r="W119" t="str">
        <f t="shared" ref="W119:W144" si="130">W8</f>
        <v>11 Corporate managers and directors</v>
      </c>
      <c r="X119" s="225">
        <f t="shared" ref="X119:AA144" si="131">Y8-X8</f>
        <v>1.9906817648112352</v>
      </c>
      <c r="Y119" s="225">
        <f t="shared" si="131"/>
        <v>0.59848825565094366</v>
      </c>
      <c r="Z119" s="225">
        <f t="shared" si="131"/>
        <v>-0.25520454008667848</v>
      </c>
      <c r="AA119" s="225">
        <f t="shared" si="131"/>
        <v>1.8619787372853178</v>
      </c>
      <c r="AB119" s="225">
        <f t="shared" ref="AB119:AB144" si="132">AB8-Z8</f>
        <v>1.6067741971986393</v>
      </c>
    </row>
    <row r="120" spans="1:28">
      <c r="A120" t="str">
        <f t="shared" si="124"/>
        <v>12 Other managers and proprietors</v>
      </c>
      <c r="B120" s="225">
        <f t="shared" si="125"/>
        <v>0.16243204481055784</v>
      </c>
      <c r="C120" s="225">
        <f t="shared" si="125"/>
        <v>0.56865111352801634</v>
      </c>
      <c r="D120" s="225">
        <f t="shared" si="125"/>
        <v>0.42157550617930184</v>
      </c>
      <c r="E120" s="225">
        <f t="shared" si="125"/>
        <v>1.636613130557647</v>
      </c>
      <c r="F120" s="225">
        <f t="shared" si="126"/>
        <v>2.0581886367369489</v>
      </c>
      <c r="L120" t="str">
        <f t="shared" si="127"/>
        <v>12 Other managers and proprietors</v>
      </c>
      <c r="M120" s="225">
        <f t="shared" si="128"/>
        <v>0.21456544121494936</v>
      </c>
      <c r="N120" s="225">
        <f t="shared" si="128"/>
        <v>-0.40799864157563182</v>
      </c>
      <c r="O120" s="225">
        <f t="shared" si="128"/>
        <v>0.93558856604407303</v>
      </c>
      <c r="P120" s="225">
        <f t="shared" si="128"/>
        <v>0.94635538668588381</v>
      </c>
      <c r="Q120" s="225">
        <f t="shared" si="129"/>
        <v>1.8819439527299568</v>
      </c>
      <c r="W120" t="str">
        <f t="shared" si="130"/>
        <v>12 Other managers and proprietors</v>
      </c>
      <c r="X120" s="225">
        <f t="shared" si="131"/>
        <v>-5.213339640438619E-2</v>
      </c>
      <c r="Y120" s="225">
        <f t="shared" si="131"/>
        <v>0.97664975510365082</v>
      </c>
      <c r="Z120" s="225">
        <f t="shared" si="131"/>
        <v>-0.51401305986478452</v>
      </c>
      <c r="AA120" s="225">
        <f t="shared" si="131"/>
        <v>0.69025774387177119</v>
      </c>
      <c r="AB120" s="225">
        <f t="shared" si="132"/>
        <v>0.17624468400698667</v>
      </c>
    </row>
    <row r="121" spans="1:28">
      <c r="A121" t="str">
        <f t="shared" si="124"/>
        <v>21 Science, research, engineering and technology professionals</v>
      </c>
      <c r="B121" s="225">
        <f t="shared" si="125"/>
        <v>1.8298751551711341</v>
      </c>
      <c r="C121" s="225">
        <f t="shared" si="125"/>
        <v>1.151709770526125</v>
      </c>
      <c r="D121" s="225">
        <f t="shared" si="125"/>
        <v>5.6572003768585937</v>
      </c>
      <c r="E121" s="225">
        <f t="shared" si="125"/>
        <v>4.1287952716567133</v>
      </c>
      <c r="F121" s="225">
        <f t="shared" si="126"/>
        <v>9.785995648515307</v>
      </c>
      <c r="L121" t="str">
        <f t="shared" si="127"/>
        <v>21 Science, research, engineering and technology professionals</v>
      </c>
      <c r="M121" s="225">
        <f t="shared" si="128"/>
        <v>1.6292970012474335</v>
      </c>
      <c r="N121" s="225">
        <f t="shared" si="128"/>
        <v>0.19125556661821363</v>
      </c>
      <c r="O121" s="225">
        <f t="shared" si="128"/>
        <v>3.9636247020192812</v>
      </c>
      <c r="P121" s="225">
        <f t="shared" si="128"/>
        <v>2.5305571997147176</v>
      </c>
      <c r="Q121" s="225">
        <f t="shared" si="129"/>
        <v>6.4941819017339988</v>
      </c>
      <c r="W121" t="str">
        <f t="shared" si="130"/>
        <v>21 Science, research, engineering and technology professionals</v>
      </c>
      <c r="X121" s="225">
        <f t="shared" si="131"/>
        <v>0.20057815392378542</v>
      </c>
      <c r="Y121" s="225">
        <f t="shared" si="131"/>
        <v>0.96045420390789493</v>
      </c>
      <c r="Z121" s="225">
        <f t="shared" si="131"/>
        <v>1.6935756748392548</v>
      </c>
      <c r="AA121" s="225">
        <f t="shared" si="131"/>
        <v>1.5982380719421085</v>
      </c>
      <c r="AB121" s="225">
        <f t="shared" si="132"/>
        <v>3.2918137467813633</v>
      </c>
    </row>
    <row r="122" spans="1:28">
      <c r="A122" t="str">
        <f t="shared" si="124"/>
        <v>22 Health professionals</v>
      </c>
      <c r="B122" s="225">
        <f t="shared" si="125"/>
        <v>5.6410307573032519</v>
      </c>
      <c r="C122" s="225">
        <f t="shared" si="125"/>
        <v>-0.43049886708068286</v>
      </c>
      <c r="D122" s="225">
        <f t="shared" si="125"/>
        <v>-0.34116937946104642</v>
      </c>
      <c r="E122" s="225">
        <f t="shared" si="125"/>
        <v>2.035488647260042</v>
      </c>
      <c r="F122" s="225">
        <f t="shared" si="126"/>
        <v>1.6943192677989956</v>
      </c>
      <c r="L122" t="str">
        <f t="shared" si="127"/>
        <v>22 Health professionals</v>
      </c>
      <c r="M122" s="225">
        <f t="shared" si="128"/>
        <v>1.3776077723358755</v>
      </c>
      <c r="N122" s="225">
        <f t="shared" si="128"/>
        <v>0.41242946618693299</v>
      </c>
      <c r="O122" s="225">
        <f t="shared" si="128"/>
        <v>-0.10427444156976406</v>
      </c>
      <c r="P122" s="225">
        <f t="shared" si="128"/>
        <v>0.43976302812439094</v>
      </c>
      <c r="Q122" s="225">
        <f t="shared" si="129"/>
        <v>0.33548858655462688</v>
      </c>
      <c r="W122" t="str">
        <f t="shared" si="130"/>
        <v>22 Health professionals</v>
      </c>
      <c r="X122" s="225">
        <f t="shared" si="131"/>
        <v>4.2634229849673915</v>
      </c>
      <c r="Y122" s="225">
        <f t="shared" si="131"/>
        <v>-0.84292833326758299</v>
      </c>
      <c r="Z122" s="225">
        <f t="shared" si="131"/>
        <v>-0.2368949378913392</v>
      </c>
      <c r="AA122" s="225">
        <f t="shared" si="131"/>
        <v>1.5957256191356954</v>
      </c>
      <c r="AB122" s="225">
        <f t="shared" si="132"/>
        <v>1.3588306812443562</v>
      </c>
    </row>
    <row r="123" spans="1:28">
      <c r="A123" t="str">
        <f t="shared" si="124"/>
        <v>23 Teaching and other educational professionals</v>
      </c>
      <c r="B123" s="225">
        <f t="shared" si="125"/>
        <v>1.2252230894892975</v>
      </c>
      <c r="C123" s="225">
        <f t="shared" si="125"/>
        <v>1.2610199883480746</v>
      </c>
      <c r="D123" s="225">
        <f t="shared" si="125"/>
        <v>-5.6925225292204118E-2</v>
      </c>
      <c r="E123" s="225">
        <f t="shared" si="125"/>
        <v>2.1956636704645085</v>
      </c>
      <c r="F123" s="225">
        <f t="shared" si="126"/>
        <v>2.1387384451723044</v>
      </c>
      <c r="L123" t="str">
        <f t="shared" si="127"/>
        <v>23 Teaching and other educational professionals</v>
      </c>
      <c r="M123" s="225">
        <f t="shared" si="128"/>
        <v>6.4330225263235619E-2</v>
      </c>
      <c r="N123" s="225">
        <f t="shared" si="128"/>
        <v>0.50843706154743451</v>
      </c>
      <c r="O123" s="225">
        <f t="shared" si="128"/>
        <v>0.14269789964307922</v>
      </c>
      <c r="P123" s="225">
        <f t="shared" si="128"/>
        <v>0.53443678664606598</v>
      </c>
      <c r="Q123" s="225">
        <f t="shared" si="129"/>
        <v>0.67713468628914519</v>
      </c>
      <c r="W123" t="str">
        <f t="shared" si="130"/>
        <v>23 Teaching and other educational professionals</v>
      </c>
      <c r="X123" s="225">
        <f t="shared" si="131"/>
        <v>1.1608928642260565</v>
      </c>
      <c r="Y123" s="225">
        <f t="shared" si="131"/>
        <v>0.75258292680058503</v>
      </c>
      <c r="Z123" s="225">
        <f t="shared" si="131"/>
        <v>-0.199623124935286</v>
      </c>
      <c r="AA123" s="225">
        <f t="shared" si="131"/>
        <v>1.6612268838184718</v>
      </c>
      <c r="AB123" s="225">
        <f t="shared" si="132"/>
        <v>1.4616037588831858</v>
      </c>
    </row>
    <row r="124" spans="1:28">
      <c r="A124" t="str">
        <f t="shared" si="124"/>
        <v>24 Business, media and public service professionals</v>
      </c>
      <c r="B124" s="225">
        <f t="shared" si="125"/>
        <v>2.6501399028007349</v>
      </c>
      <c r="C124" s="225">
        <f t="shared" si="125"/>
        <v>2.5014257983701249</v>
      </c>
      <c r="D124" s="225">
        <f t="shared" si="125"/>
        <v>1.1594490421343835</v>
      </c>
      <c r="E124" s="225">
        <f t="shared" si="125"/>
        <v>3.4168818552411864</v>
      </c>
      <c r="F124" s="225">
        <f t="shared" si="126"/>
        <v>4.5763308973755699</v>
      </c>
      <c r="L124" t="str">
        <f t="shared" si="127"/>
        <v>24 Business, media and public service professionals</v>
      </c>
      <c r="M124" s="225">
        <f t="shared" si="128"/>
        <v>0.85492528622754271</v>
      </c>
      <c r="N124" s="225">
        <f t="shared" si="128"/>
        <v>1.4668024826026578</v>
      </c>
      <c r="O124" s="225">
        <f t="shared" si="128"/>
        <v>0.86011002286363336</v>
      </c>
      <c r="P124" s="225">
        <f t="shared" si="128"/>
        <v>1.3593829046886725</v>
      </c>
      <c r="Q124" s="225">
        <f t="shared" si="129"/>
        <v>2.2194929275523059</v>
      </c>
      <c r="W124" t="str">
        <f t="shared" si="130"/>
        <v>24 Business, media and public service professionals</v>
      </c>
      <c r="X124" s="225">
        <f t="shared" si="131"/>
        <v>1.7952146165732383</v>
      </c>
      <c r="Y124" s="225">
        <f t="shared" si="131"/>
        <v>1.034623315767492</v>
      </c>
      <c r="Z124" s="225">
        <f t="shared" si="131"/>
        <v>0.29933901927068973</v>
      </c>
      <c r="AA124" s="225">
        <f t="shared" si="131"/>
        <v>2.0574989505524783</v>
      </c>
      <c r="AB124" s="225">
        <f t="shared" si="132"/>
        <v>2.3568379698231681</v>
      </c>
    </row>
    <row r="125" spans="1:28">
      <c r="A125" t="str">
        <f t="shared" si="124"/>
        <v>31 Science, engineering and technology associate professionals</v>
      </c>
      <c r="B125" s="225">
        <f t="shared" si="125"/>
        <v>0.43818397653701968</v>
      </c>
      <c r="C125" s="225">
        <f t="shared" si="125"/>
        <v>0.63408302046054921</v>
      </c>
      <c r="D125" s="225">
        <f t="shared" si="125"/>
        <v>-0.69728508461250982</v>
      </c>
      <c r="E125" s="225">
        <f t="shared" si="125"/>
        <v>0.41370039259496139</v>
      </c>
      <c r="F125" s="225">
        <f t="shared" si="126"/>
        <v>-0.28358469201754843</v>
      </c>
      <c r="L125" t="str">
        <f t="shared" si="127"/>
        <v>31 Science, engineering and technology associate professionals</v>
      </c>
      <c r="M125" s="225">
        <f t="shared" si="128"/>
        <v>0.47101007264137884</v>
      </c>
      <c r="N125" s="225">
        <f t="shared" si="128"/>
        <v>0.2645812515830972</v>
      </c>
      <c r="O125" s="225">
        <f t="shared" si="128"/>
        <v>-0.80216155026719704</v>
      </c>
      <c r="P125" s="225">
        <f t="shared" si="128"/>
        <v>5.0650701550688737E-2</v>
      </c>
      <c r="Q125" s="225">
        <f t="shared" si="129"/>
        <v>-0.75151084871650831</v>
      </c>
      <c r="W125" t="str">
        <f t="shared" si="130"/>
        <v>31 Science, engineering and technology associate professionals</v>
      </c>
      <c r="X125" s="225">
        <f t="shared" si="131"/>
        <v>-3.2826096104352276E-2</v>
      </c>
      <c r="Y125" s="225">
        <f t="shared" si="131"/>
        <v>0.3695017688774318</v>
      </c>
      <c r="Z125" s="225">
        <f t="shared" si="131"/>
        <v>0.10487646565470143</v>
      </c>
      <c r="AA125" s="225">
        <f t="shared" si="131"/>
        <v>0.36304969104427842</v>
      </c>
      <c r="AB125" s="225">
        <f t="shared" si="132"/>
        <v>0.46792615669897986</v>
      </c>
    </row>
    <row r="126" spans="1:28">
      <c r="A126" t="str">
        <f t="shared" si="124"/>
        <v>32 Health and social care associate professionals</v>
      </c>
      <c r="B126" s="225">
        <f t="shared" si="125"/>
        <v>1.9238400124446926</v>
      </c>
      <c r="C126" s="225">
        <f t="shared" si="125"/>
        <v>4.5153935029734527E-2</v>
      </c>
      <c r="D126" s="225">
        <f t="shared" si="125"/>
        <v>6.6782653926908768</v>
      </c>
      <c r="E126" s="225">
        <f t="shared" si="125"/>
        <v>3.3756724748495124</v>
      </c>
      <c r="F126" s="225">
        <f t="shared" si="126"/>
        <v>10.053937867540389</v>
      </c>
      <c r="L126" t="str">
        <f t="shared" si="127"/>
        <v>32 Health and social care associate professionals</v>
      </c>
      <c r="M126" s="225">
        <f t="shared" si="128"/>
        <v>0.24599112565927284</v>
      </c>
      <c r="N126" s="225">
        <f t="shared" si="128"/>
        <v>0.12498096532965564</v>
      </c>
      <c r="O126" s="225">
        <f t="shared" si="128"/>
        <v>0.82362220001673281</v>
      </c>
      <c r="P126" s="225">
        <f t="shared" si="128"/>
        <v>0.3707970901412212</v>
      </c>
      <c r="Q126" s="225">
        <f t="shared" si="129"/>
        <v>1.194419290157954</v>
      </c>
      <c r="W126" t="str">
        <f t="shared" si="130"/>
        <v>32 Health and social care associate professionals</v>
      </c>
      <c r="X126" s="225">
        <f t="shared" si="131"/>
        <v>1.6778488867853829</v>
      </c>
      <c r="Y126" s="225">
        <f t="shared" si="131"/>
        <v>-7.9827030299910007E-2</v>
      </c>
      <c r="Z126" s="225">
        <f t="shared" si="131"/>
        <v>5.8546431926741676</v>
      </c>
      <c r="AA126" s="225">
        <f t="shared" si="131"/>
        <v>3.0048753847082743</v>
      </c>
      <c r="AB126" s="225">
        <f t="shared" si="132"/>
        <v>8.8595185773824419</v>
      </c>
    </row>
    <row r="127" spans="1:28">
      <c r="A127" t="str">
        <f t="shared" si="124"/>
        <v>33 Protective service occupations</v>
      </c>
      <c r="B127" s="225">
        <f t="shared" si="125"/>
        <v>-1.7414704835955419E-2</v>
      </c>
      <c r="C127" s="225">
        <f t="shared" si="125"/>
        <v>0.26031305182285447</v>
      </c>
      <c r="D127" s="225">
        <f t="shared" si="125"/>
        <v>-0.62916028652260092</v>
      </c>
      <c r="E127" s="225">
        <f t="shared" si="125"/>
        <v>0.39376398259701073</v>
      </c>
      <c r="F127" s="225">
        <f t="shared" si="126"/>
        <v>-0.23539630392559019</v>
      </c>
      <c r="L127" t="str">
        <f t="shared" si="127"/>
        <v>33 Protective service occupations</v>
      </c>
      <c r="M127" s="225">
        <f t="shared" si="128"/>
        <v>-0.15447146593367123</v>
      </c>
      <c r="N127" s="225">
        <f t="shared" si="128"/>
        <v>0.1402263215118027</v>
      </c>
      <c r="O127" s="225">
        <f t="shared" si="128"/>
        <v>-0.48671146367531515</v>
      </c>
      <c r="P127" s="225">
        <f t="shared" si="128"/>
        <v>1.2457811373519867E-2</v>
      </c>
      <c r="Q127" s="225">
        <f t="shared" si="129"/>
        <v>-0.47425365230179528</v>
      </c>
      <c r="W127" t="str">
        <f t="shared" si="130"/>
        <v>33 Protective service occupations</v>
      </c>
      <c r="X127" s="225">
        <f t="shared" si="131"/>
        <v>0.13705676109771603</v>
      </c>
      <c r="Y127" s="225">
        <f t="shared" si="131"/>
        <v>0.12008673031104666</v>
      </c>
      <c r="Z127" s="225">
        <f t="shared" si="131"/>
        <v>-0.14244882284727889</v>
      </c>
      <c r="AA127" s="225">
        <f t="shared" si="131"/>
        <v>0.38130617122347932</v>
      </c>
      <c r="AB127" s="225">
        <f t="shared" si="132"/>
        <v>0.23885734837620043</v>
      </c>
    </row>
    <row r="128" spans="1:28">
      <c r="A128" t="str">
        <f t="shared" si="124"/>
        <v>34 Culture, media and sports occupations</v>
      </c>
      <c r="B128" s="225">
        <f t="shared" si="125"/>
        <v>-5.6285389313178058E-2</v>
      </c>
      <c r="C128" s="225">
        <f t="shared" si="125"/>
        <v>0.22489171590712864</v>
      </c>
      <c r="D128" s="225">
        <f t="shared" si="125"/>
        <v>-1.0718280502471815</v>
      </c>
      <c r="E128" s="225">
        <f t="shared" si="125"/>
        <v>0.61807129949708095</v>
      </c>
      <c r="F128" s="225">
        <f t="shared" si="126"/>
        <v>-0.45375675075010058</v>
      </c>
      <c r="L128" t="str">
        <f t="shared" si="127"/>
        <v>34 Culture, media and sports occupations</v>
      </c>
      <c r="M128" s="225">
        <f t="shared" si="128"/>
        <v>-1.9550430095883087E-2</v>
      </c>
      <c r="N128" s="225">
        <f t="shared" si="128"/>
        <v>4.6325071757790326E-2</v>
      </c>
      <c r="O128" s="225">
        <f t="shared" si="128"/>
        <v>-0.66442992697019809</v>
      </c>
      <c r="P128" s="225">
        <f t="shared" si="128"/>
        <v>0.25798392610882592</v>
      </c>
      <c r="Q128" s="225">
        <f t="shared" si="129"/>
        <v>-0.40644600086137217</v>
      </c>
      <c r="W128" t="str">
        <f t="shared" si="130"/>
        <v>34 Culture, media and sports occupations</v>
      </c>
      <c r="X128" s="225">
        <f t="shared" si="131"/>
        <v>-3.6734959217282093E-2</v>
      </c>
      <c r="Y128" s="225">
        <f t="shared" si="131"/>
        <v>0.17856664414933521</v>
      </c>
      <c r="Z128" s="225">
        <f t="shared" si="131"/>
        <v>-0.40739812327698166</v>
      </c>
      <c r="AA128" s="225">
        <f t="shared" si="131"/>
        <v>0.36008737338824925</v>
      </c>
      <c r="AB128" s="225">
        <f t="shared" si="132"/>
        <v>-4.7310749888732406E-2</v>
      </c>
    </row>
    <row r="129" spans="1:28">
      <c r="A129" t="str">
        <f t="shared" si="124"/>
        <v>35 Business and public service associate professionals</v>
      </c>
      <c r="B129" s="225">
        <f t="shared" si="125"/>
        <v>0.30067277322459418</v>
      </c>
      <c r="C129" s="225">
        <f t="shared" si="125"/>
        <v>0.93477825553671678</v>
      </c>
      <c r="D129" s="225">
        <f t="shared" si="125"/>
        <v>6.3456785606664567E-2</v>
      </c>
      <c r="E129" s="225">
        <f t="shared" si="125"/>
        <v>1.5496857352946805</v>
      </c>
      <c r="F129" s="225">
        <f t="shared" si="126"/>
        <v>1.613142520901345</v>
      </c>
      <c r="L129" t="str">
        <f t="shared" si="127"/>
        <v>35 Business and public service associate professionals</v>
      </c>
      <c r="M129" s="225">
        <f t="shared" si="128"/>
        <v>-0.35051375097008552</v>
      </c>
      <c r="N129" s="225">
        <f t="shared" si="128"/>
        <v>0.62729555023433647</v>
      </c>
      <c r="O129" s="225">
        <f t="shared" si="128"/>
        <v>-0.10292841184807955</v>
      </c>
      <c r="P129" s="225">
        <f t="shared" si="128"/>
        <v>0.15555193458045835</v>
      </c>
      <c r="Q129" s="225">
        <f t="shared" si="129"/>
        <v>5.2623522732378802E-2</v>
      </c>
      <c r="W129" t="str">
        <f t="shared" si="130"/>
        <v>35 Business and public service associate professionals</v>
      </c>
      <c r="X129" s="225">
        <f t="shared" si="131"/>
        <v>0.65118652419470813</v>
      </c>
      <c r="Y129" s="225">
        <f t="shared" si="131"/>
        <v>0.30748270530239452</v>
      </c>
      <c r="Z129" s="225">
        <f t="shared" si="131"/>
        <v>0.16638519745473523</v>
      </c>
      <c r="AA129" s="225">
        <f t="shared" si="131"/>
        <v>1.3941338007142257</v>
      </c>
      <c r="AB129" s="225">
        <f t="shared" si="132"/>
        <v>1.5605189981689609</v>
      </c>
    </row>
    <row r="130" spans="1:28">
      <c r="A130" t="str">
        <f t="shared" si="124"/>
        <v>41 Administrative occupations</v>
      </c>
      <c r="B130" s="225">
        <f t="shared" si="125"/>
        <v>-3.9732476104116685</v>
      </c>
      <c r="C130" s="225">
        <f t="shared" si="125"/>
        <v>2.0329151635029987</v>
      </c>
      <c r="D130" s="225">
        <f t="shared" si="125"/>
        <v>1.7362783854278661</v>
      </c>
      <c r="E130" s="225">
        <f t="shared" si="125"/>
        <v>-0.81453875394673503</v>
      </c>
      <c r="F130" s="225">
        <f t="shared" si="126"/>
        <v>0.92173963148113103</v>
      </c>
      <c r="L130" t="str">
        <f t="shared" si="127"/>
        <v>41 Administrative occupations</v>
      </c>
      <c r="M130" s="225">
        <f t="shared" si="128"/>
        <v>-2.0113625483625288</v>
      </c>
      <c r="N130" s="225">
        <f t="shared" si="128"/>
        <v>2.627449008150446</v>
      </c>
      <c r="O130" s="225">
        <f t="shared" si="128"/>
        <v>1.325836497623694</v>
      </c>
      <c r="P130" s="225">
        <f t="shared" si="128"/>
        <v>2.0957675658938903</v>
      </c>
      <c r="Q130" s="225">
        <f t="shared" si="129"/>
        <v>3.4216040635175844</v>
      </c>
      <c r="W130" t="str">
        <f t="shared" si="130"/>
        <v>41 Administrative occupations</v>
      </c>
      <c r="X130" s="225">
        <f t="shared" si="131"/>
        <v>-1.9618850620492552</v>
      </c>
      <c r="Y130" s="225">
        <f t="shared" si="131"/>
        <v>-0.5945338446474544</v>
      </c>
      <c r="Z130" s="225">
        <f t="shared" si="131"/>
        <v>0.4104418878042253</v>
      </c>
      <c r="AA130" s="225">
        <f t="shared" si="131"/>
        <v>-2.9103063198406858</v>
      </c>
      <c r="AB130" s="225">
        <f t="shared" si="132"/>
        <v>-2.4998644320364605</v>
      </c>
    </row>
    <row r="131" spans="1:28">
      <c r="A131" t="str">
        <f t="shared" si="124"/>
        <v>42 Secretarial and related occupations</v>
      </c>
      <c r="B131" s="225">
        <f t="shared" si="125"/>
        <v>-1.5046902102056325</v>
      </c>
      <c r="C131" s="225">
        <f t="shared" si="125"/>
        <v>-0.21452979553490792</v>
      </c>
      <c r="D131" s="225">
        <f t="shared" si="125"/>
        <v>-0.71198373791664338</v>
      </c>
      <c r="E131" s="225">
        <f t="shared" si="125"/>
        <v>-3.1608852807618293</v>
      </c>
      <c r="F131" s="225">
        <f t="shared" si="126"/>
        <v>-3.8728690186784727</v>
      </c>
      <c r="L131" t="str">
        <f t="shared" si="127"/>
        <v>42 Secretarial and related occupations</v>
      </c>
      <c r="M131" s="225">
        <f t="shared" si="128"/>
        <v>-0.28548208935722863</v>
      </c>
      <c r="N131" s="225">
        <f t="shared" si="128"/>
        <v>1.8289262544548879E-2</v>
      </c>
      <c r="O131" s="225">
        <f t="shared" si="128"/>
        <v>-8.872900733961675E-2</v>
      </c>
      <c r="P131" s="225">
        <f t="shared" si="128"/>
        <v>9.3593575262578055E-2</v>
      </c>
      <c r="Q131" s="225">
        <f t="shared" si="129"/>
        <v>4.8645679229613048E-3</v>
      </c>
      <c r="W131" t="str">
        <f t="shared" si="130"/>
        <v>42 Secretarial and related occupations</v>
      </c>
      <c r="X131" s="225">
        <f t="shared" si="131"/>
        <v>-1.2192081208483998</v>
      </c>
      <c r="Y131" s="225">
        <f t="shared" si="131"/>
        <v>-0.23281905807946579</v>
      </c>
      <c r="Z131" s="225">
        <f t="shared" si="131"/>
        <v>-0.62325473057703107</v>
      </c>
      <c r="AA131" s="225">
        <f t="shared" si="131"/>
        <v>-3.2544788560244031</v>
      </c>
      <c r="AB131" s="225">
        <f t="shared" si="132"/>
        <v>-3.8777335866014342</v>
      </c>
    </row>
    <row r="132" spans="1:28">
      <c r="A132" t="str">
        <f t="shared" si="124"/>
        <v>51 Skilled agricultural and related trades</v>
      </c>
      <c r="B132" s="225">
        <f t="shared" si="125"/>
        <v>-0.52472461473943488</v>
      </c>
      <c r="C132" s="225">
        <f t="shared" si="125"/>
        <v>-0.61344619111810683</v>
      </c>
      <c r="D132" s="225">
        <f t="shared" si="125"/>
        <v>-1.4814804633175083E-2</v>
      </c>
      <c r="E132" s="225">
        <f t="shared" si="125"/>
        <v>0.35668687003426136</v>
      </c>
      <c r="F132" s="225">
        <f t="shared" si="126"/>
        <v>0.34187206540108628</v>
      </c>
      <c r="L132" t="str">
        <f t="shared" si="127"/>
        <v>51 Skilled agricultural and related trades</v>
      </c>
      <c r="M132" s="225">
        <f t="shared" si="128"/>
        <v>-0.485645557502977</v>
      </c>
      <c r="N132" s="225">
        <f t="shared" si="128"/>
        <v>-0.61496965262956005</v>
      </c>
      <c r="O132" s="225">
        <f t="shared" si="128"/>
        <v>-6.5965194677041428E-2</v>
      </c>
      <c r="P132" s="225">
        <f t="shared" si="128"/>
        <v>0.2401690288447762</v>
      </c>
      <c r="Q132" s="225">
        <f t="shared" si="129"/>
        <v>0.17420383416773477</v>
      </c>
      <c r="W132" t="str">
        <f t="shared" si="130"/>
        <v>51 Skilled agricultural and related trades</v>
      </c>
      <c r="X132" s="225">
        <f t="shared" si="131"/>
        <v>-3.9079057236457659E-2</v>
      </c>
      <c r="Y132" s="225">
        <f t="shared" si="131"/>
        <v>1.5234615114548822E-3</v>
      </c>
      <c r="Z132" s="225">
        <f t="shared" si="131"/>
        <v>5.1150390043863125E-2</v>
      </c>
      <c r="AA132" s="225">
        <f t="shared" si="131"/>
        <v>0.11651784118948649</v>
      </c>
      <c r="AB132" s="225">
        <f t="shared" si="132"/>
        <v>0.16766823123334962</v>
      </c>
    </row>
    <row r="133" spans="1:28">
      <c r="A133" t="str">
        <f t="shared" si="124"/>
        <v>52 Skilled metal, electrical and electronic trades</v>
      </c>
      <c r="B133" s="225">
        <f t="shared" si="125"/>
        <v>-0.27904065005843037</v>
      </c>
      <c r="C133" s="225">
        <f t="shared" si="125"/>
        <v>-5.1068109046133614</v>
      </c>
      <c r="D133" s="225">
        <f t="shared" si="125"/>
        <v>-0.61287798079590772</v>
      </c>
      <c r="E133" s="225">
        <f t="shared" si="125"/>
        <v>-1.7828139592243843</v>
      </c>
      <c r="F133" s="225">
        <f t="shared" si="126"/>
        <v>-2.3956919400202921</v>
      </c>
      <c r="L133" t="str">
        <f t="shared" si="127"/>
        <v>52 Skilled metal, electrical and electronic trades</v>
      </c>
      <c r="M133" s="225">
        <f t="shared" si="128"/>
        <v>-0.5011515424435764</v>
      </c>
      <c r="N133" s="225">
        <f t="shared" si="128"/>
        <v>-4.9711767046880837</v>
      </c>
      <c r="O133" s="225">
        <f t="shared" si="128"/>
        <v>-0.89954453511844079</v>
      </c>
      <c r="P133" s="225">
        <f t="shared" si="128"/>
        <v>-1.9162132722690508</v>
      </c>
      <c r="Q133" s="225">
        <f t="shared" si="129"/>
        <v>-2.8157578073874916</v>
      </c>
      <c r="W133" t="str">
        <f t="shared" si="130"/>
        <v>52 Skilled metal, electrical and electronic trades</v>
      </c>
      <c r="X133" s="225">
        <f t="shared" si="131"/>
        <v>0.22211089238517573</v>
      </c>
      <c r="Y133" s="225">
        <f t="shared" si="131"/>
        <v>-0.13563419992529624</v>
      </c>
      <c r="Z133" s="225">
        <f t="shared" si="131"/>
        <v>0.28666655432249555</v>
      </c>
      <c r="AA133" s="225">
        <f t="shared" si="131"/>
        <v>0.13339931304470742</v>
      </c>
      <c r="AB133" s="225">
        <f t="shared" si="132"/>
        <v>0.42006586736720297</v>
      </c>
    </row>
    <row r="134" spans="1:28">
      <c r="A134" t="str">
        <f t="shared" si="124"/>
        <v>53 Skilled construction and building trades</v>
      </c>
      <c r="B134" s="225">
        <f t="shared" si="125"/>
        <v>2.6639263891725271</v>
      </c>
      <c r="C134" s="225">
        <f t="shared" si="125"/>
        <v>-3.8660835554153259</v>
      </c>
      <c r="D134" s="225">
        <f t="shared" si="125"/>
        <v>-0.66030288828883599</v>
      </c>
      <c r="E134" s="225">
        <f t="shared" si="125"/>
        <v>-2.4115892867804529</v>
      </c>
      <c r="F134" s="225">
        <f t="shared" si="126"/>
        <v>-3.0718921750692889</v>
      </c>
      <c r="L134" t="str">
        <f t="shared" si="127"/>
        <v>53 Skilled construction and building trades</v>
      </c>
      <c r="M134" s="225">
        <f t="shared" si="128"/>
        <v>2.6763496748343982</v>
      </c>
      <c r="N134" s="225">
        <f t="shared" si="128"/>
        <v>-3.9198579748013564</v>
      </c>
      <c r="O134" s="225">
        <f t="shared" si="128"/>
        <v>-0.54063042069509848</v>
      </c>
      <c r="P134" s="225">
        <f t="shared" si="128"/>
        <v>-2.4217525137881584</v>
      </c>
      <c r="Q134" s="225">
        <f t="shared" si="129"/>
        <v>-2.9623829344832568</v>
      </c>
      <c r="W134" t="str">
        <f t="shared" si="130"/>
        <v>53 Skilled construction and building trades</v>
      </c>
      <c r="X134" s="225">
        <f t="shared" si="131"/>
        <v>-1.2423285661846251E-2</v>
      </c>
      <c r="Y134" s="225">
        <f t="shared" si="131"/>
        <v>5.3774419386020955E-2</v>
      </c>
      <c r="Z134" s="225">
        <f t="shared" si="131"/>
        <v>-0.11967246759374794</v>
      </c>
      <c r="AA134" s="225">
        <f t="shared" si="131"/>
        <v>1.0163227007710662E-2</v>
      </c>
      <c r="AB134" s="225">
        <f t="shared" si="132"/>
        <v>-0.10950924058603728</v>
      </c>
    </row>
    <row r="135" spans="1:28">
      <c r="A135" t="str">
        <f t="shared" si="124"/>
        <v>54 Textiles, printing and other skilled trades</v>
      </c>
      <c r="B135" s="225">
        <f t="shared" si="125"/>
        <v>-1.2229982216363684</v>
      </c>
      <c r="C135" s="225">
        <f t="shared" si="125"/>
        <v>-0.11670294746889276</v>
      </c>
      <c r="D135" s="225">
        <f t="shared" si="125"/>
        <v>8.9228371751490343E-2</v>
      </c>
      <c r="E135" s="225">
        <f t="shared" si="125"/>
        <v>-0.43343969336241006</v>
      </c>
      <c r="F135" s="225">
        <f t="shared" si="126"/>
        <v>-0.34421132161091972</v>
      </c>
      <c r="L135" t="str">
        <f t="shared" si="127"/>
        <v>54 Textiles, printing and other skilled trades</v>
      </c>
      <c r="M135" s="225">
        <f t="shared" si="128"/>
        <v>-0.83638701972756824</v>
      </c>
      <c r="N135" s="225">
        <f t="shared" si="128"/>
        <v>-0.55416807722050798</v>
      </c>
      <c r="O135" s="225">
        <f t="shared" si="128"/>
        <v>0.11116624707148937</v>
      </c>
      <c r="P135" s="225">
        <f t="shared" si="128"/>
        <v>-0.3751252538759795</v>
      </c>
      <c r="Q135" s="225">
        <f t="shared" si="129"/>
        <v>-0.26395900680449014</v>
      </c>
      <c r="W135" t="str">
        <f t="shared" si="130"/>
        <v>54 Textiles, printing and other skilled trades</v>
      </c>
      <c r="X135" s="225">
        <f t="shared" si="131"/>
        <v>-0.38661120190880593</v>
      </c>
      <c r="Y135" s="225">
        <f t="shared" si="131"/>
        <v>0.43746512975161522</v>
      </c>
      <c r="Z135" s="225">
        <f t="shared" si="131"/>
        <v>-2.193787531998348E-2</v>
      </c>
      <c r="AA135" s="225">
        <f t="shared" si="131"/>
        <v>-5.8314439486442993E-2</v>
      </c>
      <c r="AB135" s="225">
        <f t="shared" si="132"/>
        <v>-8.0252314806426472E-2</v>
      </c>
    </row>
    <row r="136" spans="1:28">
      <c r="A136" t="str">
        <f t="shared" si="124"/>
        <v>61 Caring personal service occupations</v>
      </c>
      <c r="B136" s="225">
        <f t="shared" si="125"/>
        <v>2.5126430525085937</v>
      </c>
      <c r="C136" s="225">
        <f t="shared" si="125"/>
        <v>-1.3528553941437238</v>
      </c>
      <c r="D136" s="225">
        <f t="shared" si="125"/>
        <v>1.7662172645651069</v>
      </c>
      <c r="E136" s="225">
        <f t="shared" si="125"/>
        <v>3.656203639990693</v>
      </c>
      <c r="F136" s="225">
        <f t="shared" si="126"/>
        <v>5.4224209045557998</v>
      </c>
      <c r="L136" t="str">
        <f t="shared" si="127"/>
        <v>61 Caring personal service occupations</v>
      </c>
      <c r="M136" s="225">
        <f t="shared" si="128"/>
        <v>0.19692605122622187</v>
      </c>
      <c r="N136" s="225">
        <f t="shared" si="128"/>
        <v>-0.19447767623330936</v>
      </c>
      <c r="O136" s="225">
        <f t="shared" si="128"/>
        <v>0.7906694030025081</v>
      </c>
      <c r="P136" s="225">
        <f t="shared" si="128"/>
        <v>0.6879411966650455</v>
      </c>
      <c r="Q136" s="225">
        <f t="shared" si="129"/>
        <v>1.4786105996675536</v>
      </c>
      <c r="W136" t="str">
        <f t="shared" si="130"/>
        <v>61 Caring personal service occupations</v>
      </c>
      <c r="X136" s="225">
        <f t="shared" si="131"/>
        <v>2.315717001282394</v>
      </c>
      <c r="Y136" s="225">
        <f t="shared" si="131"/>
        <v>-1.158377717910426</v>
      </c>
      <c r="Z136" s="225">
        <f t="shared" si="131"/>
        <v>0.97554786156261031</v>
      </c>
      <c r="AA136" s="225">
        <f t="shared" si="131"/>
        <v>2.9682624433256493</v>
      </c>
      <c r="AB136" s="225">
        <f t="shared" si="132"/>
        <v>3.9438103048882596</v>
      </c>
    </row>
    <row r="137" spans="1:28">
      <c r="A137" t="str">
        <f t="shared" si="124"/>
        <v>62 Leisure, travel and related personal service occupations</v>
      </c>
      <c r="B137" s="225">
        <f t="shared" si="125"/>
        <v>-1.453917593058593</v>
      </c>
      <c r="C137" s="225">
        <f t="shared" si="125"/>
        <v>-0.84637000276451957</v>
      </c>
      <c r="D137" s="225">
        <f t="shared" si="125"/>
        <v>-0.70058744185482524</v>
      </c>
      <c r="E137" s="225">
        <f t="shared" si="125"/>
        <v>-6.820975958341613E-2</v>
      </c>
      <c r="F137" s="225">
        <f t="shared" si="126"/>
        <v>-0.76879720143824137</v>
      </c>
      <c r="L137" t="str">
        <f t="shared" si="127"/>
        <v>62 Leisure, travel and related personal service occupations</v>
      </c>
      <c r="M137" s="225">
        <f t="shared" si="128"/>
        <v>-0.19194798118290235</v>
      </c>
      <c r="N137" s="225">
        <f t="shared" si="128"/>
        <v>-0.10786010077887997</v>
      </c>
      <c r="O137" s="225">
        <f t="shared" si="128"/>
        <v>-0.11761706857407361</v>
      </c>
      <c r="P137" s="225">
        <f t="shared" si="128"/>
        <v>6.8671553221615778E-2</v>
      </c>
      <c r="Q137" s="225">
        <f t="shared" si="129"/>
        <v>-4.8945515352457836E-2</v>
      </c>
      <c r="W137" t="str">
        <f t="shared" si="130"/>
        <v>62 Leisure, travel and related personal service occupations</v>
      </c>
      <c r="X137" s="225">
        <f t="shared" si="131"/>
        <v>-1.2619696118756822</v>
      </c>
      <c r="Y137" s="225">
        <f t="shared" si="131"/>
        <v>-0.73850990198564936</v>
      </c>
      <c r="Z137" s="225">
        <f t="shared" si="131"/>
        <v>-0.58297037328074452</v>
      </c>
      <c r="AA137" s="225">
        <f t="shared" si="131"/>
        <v>-0.13688131280503946</v>
      </c>
      <c r="AB137" s="225">
        <f t="shared" si="132"/>
        <v>-0.71985168608578398</v>
      </c>
    </row>
    <row r="138" spans="1:28">
      <c r="A138" t="str">
        <f t="shared" si="124"/>
        <v>63 Community and civil enforcement occupations</v>
      </c>
      <c r="B138" s="225">
        <f t="shared" si="125"/>
        <v>-7.9207576698650362E-2</v>
      </c>
      <c r="C138" s="225">
        <f t="shared" si="125"/>
        <v>7.9471311604694173E-2</v>
      </c>
      <c r="D138" s="225">
        <f t="shared" si="125"/>
        <v>-0.10605315142002913</v>
      </c>
      <c r="E138" s="225">
        <f t="shared" si="125"/>
        <v>3.4164352915210583E-2</v>
      </c>
      <c r="F138" s="225">
        <f t="shared" si="126"/>
        <v>-7.1888798504818552E-2</v>
      </c>
      <c r="L138" t="str">
        <f t="shared" si="127"/>
        <v>63 Community and civil enforcement occupations</v>
      </c>
      <c r="M138" s="225">
        <f t="shared" si="128"/>
        <v>-0.10232238256175433</v>
      </c>
      <c r="N138" s="225">
        <f t="shared" si="128"/>
        <v>9.9991065123296335E-2</v>
      </c>
      <c r="O138" s="225">
        <f t="shared" si="128"/>
        <v>-0.14164120077511302</v>
      </c>
      <c r="P138" s="225">
        <f t="shared" si="128"/>
        <v>3.2484157768357669E-2</v>
      </c>
      <c r="Q138" s="225">
        <f t="shared" si="129"/>
        <v>-0.10915704300675536</v>
      </c>
      <c r="W138" t="str">
        <f t="shared" si="130"/>
        <v>63 Community and civil enforcement occupations</v>
      </c>
      <c r="X138" s="225">
        <f t="shared" si="131"/>
        <v>2.3114805863103771E-2</v>
      </c>
      <c r="Y138" s="225">
        <f t="shared" si="131"/>
        <v>-2.0519753518601719E-2</v>
      </c>
      <c r="Z138" s="225">
        <f t="shared" si="131"/>
        <v>3.5588049355084042E-2</v>
      </c>
      <c r="AA138" s="225">
        <f t="shared" si="131"/>
        <v>1.6801951468529974E-3</v>
      </c>
      <c r="AB138" s="225">
        <f t="shared" si="132"/>
        <v>3.726824450193704E-2</v>
      </c>
    </row>
    <row r="139" spans="1:28">
      <c r="A139" t="str">
        <f t="shared" si="124"/>
        <v>71 Sales occupations</v>
      </c>
      <c r="B139" s="225">
        <f t="shared" si="125"/>
        <v>-3.487544684314674</v>
      </c>
      <c r="C139" s="225">
        <f t="shared" si="125"/>
        <v>-0.48531637927143123</v>
      </c>
      <c r="D139" s="225">
        <f t="shared" si="125"/>
        <v>-1.0371060330519235</v>
      </c>
      <c r="E139" s="225">
        <f t="shared" si="125"/>
        <v>-1.4004841494302305</v>
      </c>
      <c r="F139" s="225">
        <f t="shared" si="126"/>
        <v>-2.437590182482154</v>
      </c>
      <c r="L139" t="str">
        <f t="shared" si="127"/>
        <v>71 Sales occupations</v>
      </c>
      <c r="M139" s="225">
        <f t="shared" si="128"/>
        <v>-0.72360475246282085</v>
      </c>
      <c r="N139" s="225">
        <f t="shared" si="128"/>
        <v>-5.4713863786460593E-2</v>
      </c>
      <c r="O139" s="225">
        <f t="shared" si="128"/>
        <v>-0.24395460298467952</v>
      </c>
      <c r="P139" s="225">
        <f t="shared" si="128"/>
        <v>-0.32878578291136762</v>
      </c>
      <c r="Q139" s="225">
        <f t="shared" si="129"/>
        <v>-0.57274038589604714</v>
      </c>
      <c r="W139" t="str">
        <f t="shared" si="130"/>
        <v>71 Sales occupations</v>
      </c>
      <c r="X139" s="225">
        <f t="shared" si="131"/>
        <v>-2.7639399318519082</v>
      </c>
      <c r="Y139" s="225">
        <f t="shared" si="131"/>
        <v>-0.43060251548497064</v>
      </c>
      <c r="Z139" s="225">
        <f t="shared" si="131"/>
        <v>-0.79315143006727951</v>
      </c>
      <c r="AA139" s="225">
        <f t="shared" si="131"/>
        <v>-1.0716983665188025</v>
      </c>
      <c r="AB139" s="225">
        <f t="shared" si="132"/>
        <v>-1.864849796586082</v>
      </c>
    </row>
    <row r="140" spans="1:28">
      <c r="A140" t="str">
        <f t="shared" si="124"/>
        <v>72 Customer service occupations</v>
      </c>
      <c r="B140" s="225">
        <f t="shared" si="125"/>
        <v>-0.24068892588858226</v>
      </c>
      <c r="C140" s="225">
        <f t="shared" si="125"/>
        <v>0.2408450881775881</v>
      </c>
      <c r="D140" s="225">
        <f t="shared" si="125"/>
        <v>1.0697881401183569</v>
      </c>
      <c r="E140" s="225">
        <f t="shared" si="125"/>
        <v>1.109098905620252</v>
      </c>
      <c r="F140" s="225">
        <f t="shared" si="126"/>
        <v>2.1788870457386089</v>
      </c>
      <c r="L140" t="str">
        <f t="shared" si="127"/>
        <v>72 Customer service occupations</v>
      </c>
      <c r="M140" s="225">
        <f t="shared" si="128"/>
        <v>-0.70804104761483044</v>
      </c>
      <c r="N140" s="225">
        <f t="shared" si="128"/>
        <v>0.50860615895856842</v>
      </c>
      <c r="O140" s="225">
        <f t="shared" si="128"/>
        <v>0.96819121224026405</v>
      </c>
      <c r="P140" s="225">
        <f t="shared" si="128"/>
        <v>0.66161356611042255</v>
      </c>
      <c r="Q140" s="225">
        <f t="shared" si="129"/>
        <v>1.6298047783506866</v>
      </c>
      <c r="W140" t="str">
        <f t="shared" si="130"/>
        <v>72 Customer service occupations</v>
      </c>
      <c r="X140" s="225">
        <f t="shared" si="131"/>
        <v>0.46735212172626106</v>
      </c>
      <c r="Y140" s="225">
        <f t="shared" si="131"/>
        <v>-0.2677610707809821</v>
      </c>
      <c r="Z140" s="225">
        <f t="shared" si="131"/>
        <v>0.10159692787807018</v>
      </c>
      <c r="AA140" s="225">
        <f t="shared" si="131"/>
        <v>0.44748533950984992</v>
      </c>
      <c r="AB140" s="225">
        <f t="shared" si="132"/>
        <v>0.5490822673879201</v>
      </c>
    </row>
    <row r="141" spans="1:28">
      <c r="A141" t="str">
        <f t="shared" si="124"/>
        <v>81 Process, plant and machine operatives</v>
      </c>
      <c r="B141" s="225">
        <f t="shared" si="125"/>
        <v>-1.2806228034954508</v>
      </c>
      <c r="C141" s="225">
        <f t="shared" si="125"/>
        <v>-3.3541361507356378</v>
      </c>
      <c r="D141" s="225">
        <f t="shared" si="125"/>
        <v>0.60515352686688573</v>
      </c>
      <c r="E141" s="225">
        <f t="shared" si="125"/>
        <v>-1.4737461532014891</v>
      </c>
      <c r="F141" s="225">
        <f t="shared" si="126"/>
        <v>-0.86859262633460332</v>
      </c>
      <c r="L141" t="str">
        <f t="shared" si="127"/>
        <v>81 Process, plant and machine operatives</v>
      </c>
      <c r="M141" s="225">
        <f t="shared" si="128"/>
        <v>-1.4937625672057706</v>
      </c>
      <c r="N141" s="225">
        <f t="shared" si="128"/>
        <v>-2.7140935870530107</v>
      </c>
      <c r="O141" s="225">
        <f t="shared" si="128"/>
        <v>-3.1634931771931107E-2</v>
      </c>
      <c r="P141" s="225">
        <f t="shared" si="128"/>
        <v>-1.4715518419175986</v>
      </c>
      <c r="Q141" s="225">
        <f t="shared" si="129"/>
        <v>-1.5031867736895297</v>
      </c>
      <c r="W141" t="str">
        <f t="shared" si="130"/>
        <v>81 Process, plant and machine operatives</v>
      </c>
      <c r="X141" s="225">
        <f t="shared" si="131"/>
        <v>0.21313976371033938</v>
      </c>
      <c r="Y141" s="225">
        <f t="shared" si="131"/>
        <v>-0.6400425636826288</v>
      </c>
      <c r="Z141" s="225">
        <f t="shared" si="131"/>
        <v>0.63678845863880973</v>
      </c>
      <c r="AA141" s="225">
        <f t="shared" si="131"/>
        <v>-2.1943112838869183E-3</v>
      </c>
      <c r="AB141" s="225">
        <f t="shared" si="132"/>
        <v>0.63459414735492281</v>
      </c>
    </row>
    <row r="142" spans="1:28">
      <c r="A142" t="str">
        <f t="shared" si="124"/>
        <v>82 Transport and mobile machine drivers and operatives</v>
      </c>
      <c r="B142" s="225">
        <f t="shared" si="125"/>
        <v>0.7124075894142301</v>
      </c>
      <c r="C142" s="225">
        <f t="shared" si="125"/>
        <v>-2.8599583889622266</v>
      </c>
      <c r="D142" s="225">
        <f t="shared" si="125"/>
        <v>0.76477774296083822</v>
      </c>
      <c r="E142" s="225">
        <f t="shared" si="125"/>
        <v>-5.4821690014900781E-2</v>
      </c>
      <c r="F142" s="225">
        <f t="shared" si="126"/>
        <v>0.70995605294593744</v>
      </c>
      <c r="L142" t="str">
        <f t="shared" si="127"/>
        <v>82 Transport and mobile machine drivers and operatives</v>
      </c>
      <c r="M142" s="225">
        <f t="shared" si="128"/>
        <v>0.65055306345594488</v>
      </c>
      <c r="N142" s="225">
        <f t="shared" si="128"/>
        <v>-2.6750589847917325</v>
      </c>
      <c r="O142" s="225">
        <f t="shared" si="128"/>
        <v>0.4359726969872213</v>
      </c>
      <c r="P142" s="225">
        <f t="shared" si="128"/>
        <v>-0.21692884254111533</v>
      </c>
      <c r="Q142" s="225">
        <f t="shared" si="129"/>
        <v>0.21904385444610597</v>
      </c>
      <c r="W142" t="str">
        <f t="shared" si="130"/>
        <v>82 Transport and mobile machine drivers and operatives</v>
      </c>
      <c r="X142" s="225">
        <f t="shared" si="131"/>
        <v>6.185452595830343E-2</v>
      </c>
      <c r="Y142" s="225">
        <f t="shared" si="131"/>
        <v>-0.18489940417052897</v>
      </c>
      <c r="Z142" s="225">
        <f t="shared" si="131"/>
        <v>0.32880504597362581</v>
      </c>
      <c r="AA142" s="225">
        <f t="shared" si="131"/>
        <v>0.16210715252617436</v>
      </c>
      <c r="AB142" s="225">
        <f t="shared" si="132"/>
        <v>0.49091219849980017</v>
      </c>
    </row>
    <row r="143" spans="1:28">
      <c r="A143" t="str">
        <f t="shared" si="124"/>
        <v>91 Elementary trades and related occupations</v>
      </c>
      <c r="B143" s="225">
        <f t="shared" si="125"/>
        <v>-1.6554030260731132</v>
      </c>
      <c r="C143" s="225">
        <f t="shared" si="125"/>
        <v>-1.2341460296344113</v>
      </c>
      <c r="D143" s="225">
        <f t="shared" si="125"/>
        <v>6.4126175043579128</v>
      </c>
      <c r="E143" s="225">
        <f t="shared" si="125"/>
        <v>1.4862751792054141</v>
      </c>
      <c r="F143" s="225">
        <f t="shared" si="126"/>
        <v>7.8988926835633269</v>
      </c>
      <c r="L143" t="str">
        <f t="shared" si="127"/>
        <v>91 Elementary trades and related occupations</v>
      </c>
      <c r="M143" s="225">
        <f t="shared" si="128"/>
        <v>-1.2313296656435604</v>
      </c>
      <c r="N143" s="225">
        <f t="shared" si="128"/>
        <v>-0.74287375994925586</v>
      </c>
      <c r="O143" s="225">
        <f t="shared" si="128"/>
        <v>2.3199551838319961</v>
      </c>
      <c r="P143" s="225">
        <f t="shared" si="128"/>
        <v>0.47886290743664617</v>
      </c>
      <c r="Q143" s="225">
        <f t="shared" si="129"/>
        <v>2.7988180912686422</v>
      </c>
      <c r="W143" t="str">
        <f t="shared" si="130"/>
        <v>91 Elementary trades and related occupations</v>
      </c>
      <c r="X143" s="225">
        <f t="shared" si="131"/>
        <v>-0.42407336042955235</v>
      </c>
      <c r="Y143" s="225">
        <f t="shared" si="131"/>
        <v>-0.49127226968513393</v>
      </c>
      <c r="Z143" s="225">
        <f t="shared" si="131"/>
        <v>4.0926623205259096</v>
      </c>
      <c r="AA143" s="225">
        <f t="shared" si="131"/>
        <v>1.0074122717687573</v>
      </c>
      <c r="AB143" s="225">
        <f t="shared" si="132"/>
        <v>5.1000745922946669</v>
      </c>
    </row>
    <row r="144" spans="1:28">
      <c r="A144" t="str">
        <f t="shared" si="124"/>
        <v>92 Elementary administration and service occupations</v>
      </c>
      <c r="B144" s="225">
        <f t="shared" si="125"/>
        <v>-3.7055840809136953</v>
      </c>
      <c r="C144" s="225">
        <f t="shared" si="125"/>
        <v>-4.0779719753418462</v>
      </c>
      <c r="D144" s="225">
        <f t="shared" si="125"/>
        <v>-4.4647952278092404</v>
      </c>
      <c r="E144" s="225">
        <f t="shared" si="125"/>
        <v>-3.7429785865071032</v>
      </c>
      <c r="F144" s="225">
        <f t="shared" si="126"/>
        <v>-8.2077738143163437</v>
      </c>
      <c r="L144" t="str">
        <f t="shared" si="127"/>
        <v>92 Elementary administration and service occupations</v>
      </c>
      <c r="M144" s="225">
        <f t="shared" si="128"/>
        <v>-3.6565665761607988</v>
      </c>
      <c r="N144" s="225">
        <f t="shared" si="128"/>
        <v>-1.1698283141304877</v>
      </c>
      <c r="O144" s="225">
        <f t="shared" si="128"/>
        <v>-0.48173560264843118</v>
      </c>
      <c r="P144" s="225">
        <f t="shared" si="128"/>
        <v>-1.6079444441740414</v>
      </c>
      <c r="Q144" s="225">
        <f t="shared" si="129"/>
        <v>-2.0896800468224725</v>
      </c>
      <c r="W144" t="str">
        <f t="shared" si="130"/>
        <v>92 Elementary administration and service occupations</v>
      </c>
      <c r="X144" s="225">
        <f t="shared" si="131"/>
        <v>-4.9017504752871588E-2</v>
      </c>
      <c r="Y144" s="225">
        <f t="shared" si="131"/>
        <v>-2.9081436612113336</v>
      </c>
      <c r="Z144" s="225">
        <f t="shared" si="131"/>
        <v>-3.983059625160811</v>
      </c>
      <c r="AA144" s="225">
        <f t="shared" si="131"/>
        <v>-2.1350341423330672</v>
      </c>
      <c r="AB144" s="225">
        <f t="shared" si="132"/>
        <v>-6.1180937674938782</v>
      </c>
    </row>
    <row r="145" spans="1:31">
      <c r="C145" s="225"/>
      <c r="F145" s="225"/>
      <c r="N145" s="225"/>
      <c r="Q145" s="225"/>
      <c r="Y145" s="225"/>
      <c r="AB145" s="225"/>
    </row>
    <row r="146" spans="1:31">
      <c r="A146" s="22" t="str">
        <f>A35</f>
        <v>All occupations</v>
      </c>
      <c r="B146" s="362">
        <f>C35-B35</f>
        <v>4.3689999999995734</v>
      </c>
      <c r="C146" s="362">
        <f t="shared" ref="C146" si="133">D35-C35</f>
        <v>-13.73700000000008</v>
      </c>
      <c r="D146" s="362">
        <f>E35-D35</f>
        <v>11.934000000000594</v>
      </c>
      <c r="E146" s="362">
        <f>F35-E35</f>
        <v>13.815999999999519</v>
      </c>
      <c r="F146" s="362">
        <f t="shared" ref="F146" si="134">F35-D35</f>
        <v>25.750000000000114</v>
      </c>
      <c r="L146" s="22" t="str">
        <f>L35</f>
        <v>All occupations</v>
      </c>
      <c r="M146" s="362">
        <f>N35-M35</f>
        <v>-2.5712700791645489</v>
      </c>
      <c r="N146" s="362">
        <f t="shared" ref="N146" si="135">O35-N35</f>
        <v>-10.802327991869845</v>
      </c>
      <c r="O146" s="362">
        <f>P35-O35</f>
        <v>4.7755620649037382</v>
      </c>
      <c r="P146" s="362">
        <f>Q35-P35</f>
        <v>3.5695015370884562</v>
      </c>
      <c r="Q146" s="362">
        <f t="shared" ref="Q146" si="136">Q35-O35</f>
        <v>8.3450636019921944</v>
      </c>
      <c r="W146" s="22" t="str">
        <f>W35</f>
        <v>All occupations</v>
      </c>
      <c r="X146" s="362">
        <f>Y35-X35</f>
        <v>6.9402700791643497</v>
      </c>
      <c r="Y146" s="362">
        <f t="shared" ref="Y146" si="137">Z35-Y35</f>
        <v>-2.934672008130093</v>
      </c>
      <c r="Z146" s="362">
        <f>AA35-Z35</f>
        <v>7.1584379350962593</v>
      </c>
      <c r="AA146" s="362">
        <f>AB35-AA35</f>
        <v>10.246498462911234</v>
      </c>
      <c r="AB146" s="362">
        <f t="shared" ref="AB146" si="138">AB35-Z35</f>
        <v>17.404936398007493</v>
      </c>
    </row>
    <row r="150" spans="1:31">
      <c r="D150" s="1" t="s">
        <v>113</v>
      </c>
      <c r="H150" s="32" t="s">
        <v>114</v>
      </c>
      <c r="O150" s="1" t="s">
        <v>113</v>
      </c>
      <c r="S150" s="32" t="s">
        <v>114</v>
      </c>
      <c r="Z150" s="1" t="s">
        <v>113</v>
      </c>
      <c r="AD150" s="32" t="s">
        <v>114</v>
      </c>
    </row>
    <row r="151" spans="1:31">
      <c r="A151" s="20"/>
      <c r="B151" s="21">
        <f>B6</f>
        <v>2015</v>
      </c>
      <c r="C151" s="21">
        <f t="shared" ref="C151:F151" si="139">C6</f>
        <v>2019</v>
      </c>
      <c r="D151" s="21">
        <f t="shared" si="139"/>
        <v>2020</v>
      </c>
      <c r="E151" s="21">
        <f t="shared" si="139"/>
        <v>2025</v>
      </c>
      <c r="F151" s="21">
        <f t="shared" si="139"/>
        <v>2035</v>
      </c>
      <c r="H151" s="60" t="str">
        <f>CONCATENATE(B$6,"-",D$6)</f>
        <v>2015-2020</v>
      </c>
      <c r="I151" s="60" t="str">
        <f>CONCATENATE(D$6,"-",F$6)</f>
        <v>2020-2035</v>
      </c>
      <c r="L151" s="20"/>
      <c r="M151" s="21">
        <f>M6</f>
        <v>2015</v>
      </c>
      <c r="N151" s="21">
        <f t="shared" ref="N151:Q151" si="140">N6</f>
        <v>2019</v>
      </c>
      <c r="O151" s="21">
        <f t="shared" si="140"/>
        <v>2020</v>
      </c>
      <c r="P151" s="21">
        <f t="shared" si="140"/>
        <v>2025</v>
      </c>
      <c r="Q151" s="21">
        <f t="shared" si="140"/>
        <v>2035</v>
      </c>
      <c r="S151" s="60" t="str">
        <f>CONCATENATE(M$6,"-",O$6)</f>
        <v>2015-2020</v>
      </c>
      <c r="T151" s="60" t="str">
        <f>CONCATENATE(O$6,"-",Q$6)</f>
        <v>2020-2035</v>
      </c>
      <c r="W151" s="20"/>
      <c r="X151" s="21">
        <f>X6</f>
        <v>2015</v>
      </c>
      <c r="Y151" s="21">
        <f t="shared" ref="Y151:AB151" si="141">Y6</f>
        <v>2019</v>
      </c>
      <c r="Z151" s="21">
        <f t="shared" si="141"/>
        <v>2020</v>
      </c>
      <c r="AA151" s="21">
        <f t="shared" si="141"/>
        <v>2025</v>
      </c>
      <c r="AB151" s="21">
        <f t="shared" si="141"/>
        <v>2035</v>
      </c>
      <c r="AD151" s="60" t="str">
        <f>CONCATENATE(X$6,"-",Z$6)</f>
        <v>2015-2020</v>
      </c>
      <c r="AE151" s="60" t="str">
        <f>CONCATENATE(Z$6,"-",AB$6)</f>
        <v>2020-2035</v>
      </c>
    </row>
    <row r="152" spans="1:31">
      <c r="A152" s="10"/>
      <c r="B152" s="11"/>
      <c r="C152" s="11"/>
      <c r="D152" s="11"/>
      <c r="E152" s="11"/>
      <c r="F152" s="11"/>
      <c r="H152" s="31"/>
      <c r="I152" s="31"/>
      <c r="L152" s="10"/>
      <c r="M152" s="11"/>
      <c r="N152" s="11"/>
      <c r="O152" s="11"/>
      <c r="P152" s="11"/>
      <c r="Q152" s="11"/>
      <c r="S152" s="31"/>
      <c r="T152" s="31"/>
      <c r="W152" s="10"/>
      <c r="X152" s="11"/>
      <c r="Y152" s="11"/>
      <c r="Z152" s="11"/>
      <c r="AA152" s="11"/>
      <c r="AB152" s="11"/>
      <c r="AD152" s="31"/>
      <c r="AE152" s="31"/>
    </row>
    <row r="153" spans="1:31">
      <c r="A153" s="10" t="str">
        <f t="shared" ref="A153:B178" si="142">A8</f>
        <v>11 Corporate managers and directors</v>
      </c>
      <c r="B153" s="11">
        <f t="shared" si="142"/>
        <v>29.880785800881405</v>
      </c>
      <c r="C153" s="11">
        <f t="shared" ref="C153:F153" si="143">C8</f>
        <v>33.670781149647794</v>
      </c>
      <c r="D153" s="11">
        <f t="shared" si="143"/>
        <v>34.557349518918279</v>
      </c>
      <c r="E153" s="11">
        <f t="shared" si="143"/>
        <v>31.172230771306513</v>
      </c>
      <c r="F153" s="11">
        <f t="shared" si="143"/>
        <v>33.924972676339749</v>
      </c>
      <c r="H153" s="31">
        <f>IF(D$151-B$151 &lt;&gt; 0,(EXP(LN(D153/B153)/(D$151-B$151))-1)*100,0)</f>
        <v>2.9507896898499641</v>
      </c>
      <c r="I153" s="31">
        <f>IF(F$151-D$151 &lt;&gt; 0,(EXP(LN(F153/D153)/(F$151-D$151))-1)*100,0)</f>
        <v>-0.12304988831006725</v>
      </c>
      <c r="L153" s="10" t="str">
        <f>L8</f>
        <v>11 Corporate managers and directors</v>
      </c>
      <c r="M153" s="11">
        <f>M8</f>
        <v>21.454658057601161</v>
      </c>
      <c r="N153" s="11">
        <f t="shared" ref="N153:Q153" si="144">N8</f>
        <v>23.253971641556287</v>
      </c>
      <c r="O153" s="11">
        <f t="shared" si="144"/>
        <v>23.54205175517588</v>
      </c>
      <c r="P153" s="11">
        <f t="shared" si="144"/>
        <v>20.412137547650719</v>
      </c>
      <c r="Q153" s="11">
        <f t="shared" si="144"/>
        <v>21.302900715398657</v>
      </c>
      <c r="S153" s="31">
        <f>IF(O$151-M$151 &lt;&gt; 0,(EXP(LN(O153/M153)/(O$151-M$151))-1)*100,0)</f>
        <v>1.8742777063866845</v>
      </c>
      <c r="T153" s="31">
        <f>IF(Q$151-O$151 &lt;&gt; 0,(EXP(LN(Q153/O153)/(Q$151-O$151))-1)*100,0)</f>
        <v>-0.66408521726293301</v>
      </c>
      <c r="W153" s="10" t="str">
        <f>W8</f>
        <v>11 Corporate managers and directors</v>
      </c>
      <c r="X153" s="11">
        <f>X8</f>
        <v>8.4261277432802579</v>
      </c>
      <c r="Y153" s="11">
        <f t="shared" ref="Y153:AB153" si="145">Y8</f>
        <v>10.416809508091493</v>
      </c>
      <c r="Z153" s="11">
        <f t="shared" si="145"/>
        <v>11.015297763742437</v>
      </c>
      <c r="AA153" s="11">
        <f t="shared" si="145"/>
        <v>10.760093223655758</v>
      </c>
      <c r="AB153" s="11">
        <f t="shared" si="145"/>
        <v>12.622071960941076</v>
      </c>
      <c r="AD153" s="31">
        <f>IF(Z$151-X$151 &lt;&gt; 0,(EXP(LN(Z153/X153)/(Z$151-X$151))-1)*100,0)</f>
        <v>5.5051454399718702</v>
      </c>
      <c r="AE153" s="31">
        <f>IF(AB$151-Z$151 &lt;&gt; 0,(EXP(LN(AB153/Z153)/(AB$151-Z$151))-1)*100,0)</f>
        <v>0.91187926170008815</v>
      </c>
    </row>
    <row r="154" spans="1:31">
      <c r="A154" s="10" t="str">
        <f t="shared" si="142"/>
        <v>12 Other managers and proprietors</v>
      </c>
      <c r="B154" s="11">
        <f t="shared" si="142"/>
        <v>12.511934815118931</v>
      </c>
      <c r="C154" s="11">
        <f t="shared" ref="C154:F178" si="146">C9</f>
        <v>12.674366859929489</v>
      </c>
      <c r="D154" s="11">
        <f t="shared" si="146"/>
        <v>13.243017973457505</v>
      </c>
      <c r="E154" s="11">
        <f t="shared" si="146"/>
        <v>13.664593479636807</v>
      </c>
      <c r="F154" s="11">
        <f t="shared" si="146"/>
        <v>15.301206610194454</v>
      </c>
      <c r="H154" s="31">
        <f t="shared" ref="H154:H177" si="147">IF(D$151-B$151 &lt;&gt; 0,(EXP(LN(D154/B154)/(D$151-B$151))-1)*100,0)</f>
        <v>1.1422240086861102</v>
      </c>
      <c r="I154" s="31">
        <f t="shared" ref="I154:I180" si="148">IF(F$151-D$151 &lt;&gt; 0,(EXP(LN(F154/D154)/(F$151-D$151))-1)*100,0)</f>
        <v>0.96772729272256441</v>
      </c>
      <c r="L154" s="10" t="str">
        <f t="shared" ref="L154:Q154" si="149">L9</f>
        <v>12 Other managers and proprietors</v>
      </c>
      <c r="M154" s="11">
        <f t="shared" si="149"/>
        <v>7.5795667609880075</v>
      </c>
      <c r="N154" s="11">
        <f t="shared" si="149"/>
        <v>7.7941322022029569</v>
      </c>
      <c r="O154" s="11">
        <f t="shared" si="149"/>
        <v>7.3861335606273251</v>
      </c>
      <c r="P154" s="11">
        <f t="shared" si="149"/>
        <v>8.3217221266713981</v>
      </c>
      <c r="Q154" s="11">
        <f t="shared" si="149"/>
        <v>9.2680775133572819</v>
      </c>
      <c r="S154" s="31">
        <f t="shared" ref="S154:S177" si="150">IF(O$151-M$151 &lt;&gt; 0,(EXP(LN(O154/M154)/(O$151-M$151))-1)*100,0)</f>
        <v>-0.51569855102747697</v>
      </c>
      <c r="T154" s="31">
        <f t="shared" ref="T154:T177" si="151">IF(Q$151-O$151 &lt;&gt; 0,(EXP(LN(Q154/O154)/(Q$151-O$151))-1)*100,0)</f>
        <v>1.5246497874580989</v>
      </c>
      <c r="W154" s="10" t="str">
        <f t="shared" ref="W154:AB154" si="152">W9</f>
        <v>12 Other managers and proprietors</v>
      </c>
      <c r="X154" s="11">
        <f t="shared" si="152"/>
        <v>4.9323680541309223</v>
      </c>
      <c r="Y154" s="11">
        <f t="shared" si="152"/>
        <v>4.8802346577265361</v>
      </c>
      <c r="Z154" s="11">
        <f t="shared" si="152"/>
        <v>5.8568844128301869</v>
      </c>
      <c r="AA154" s="11">
        <f t="shared" si="152"/>
        <v>5.3428713529654024</v>
      </c>
      <c r="AB154" s="11">
        <f t="shared" si="152"/>
        <v>6.0331290968371736</v>
      </c>
      <c r="AD154" s="31">
        <f t="shared" ref="AD154:AD177" si="153">IF(Z$151-X$151 &lt;&gt; 0,(EXP(LN(Z154/X154)/(Z$151-X$151))-1)*100,0)</f>
        <v>3.4956831090892093</v>
      </c>
      <c r="AE154" s="31">
        <f t="shared" ref="AE154:AE177" si="154">IF(AB$151-Z$151 &lt;&gt; 0,(EXP(LN(AB154/Z154)/(AB$151-Z$151))-1)*100,0)</f>
        <v>0.19784883397389041</v>
      </c>
    </row>
    <row r="155" spans="1:31">
      <c r="A155" s="10" t="str">
        <f t="shared" si="142"/>
        <v>21 Science, research, engineering and technology professionals</v>
      </c>
      <c r="B155" s="11">
        <f t="shared" si="142"/>
        <v>23.692567314037611</v>
      </c>
      <c r="C155" s="11">
        <f t="shared" si="146"/>
        <v>25.522442469208745</v>
      </c>
      <c r="D155" s="11">
        <f t="shared" si="146"/>
        <v>26.67415223973487</v>
      </c>
      <c r="E155" s="11">
        <f t="shared" si="146"/>
        <v>32.331352616593463</v>
      </c>
      <c r="F155" s="11">
        <f t="shared" si="146"/>
        <v>36.460147888250177</v>
      </c>
      <c r="H155" s="31">
        <f t="shared" si="147"/>
        <v>2.3989964645567241</v>
      </c>
      <c r="I155" s="31">
        <f t="shared" si="148"/>
        <v>2.1053550953749944</v>
      </c>
      <c r="L155" s="10" t="str">
        <f t="shared" ref="L155:Q155" si="155">L10</f>
        <v>21 Science, research, engineering and technology professionals</v>
      </c>
      <c r="M155" s="11">
        <f t="shared" si="155"/>
        <v>19.986025304537037</v>
      </c>
      <c r="N155" s="11">
        <f t="shared" si="155"/>
        <v>21.615322305784471</v>
      </c>
      <c r="O155" s="11">
        <f t="shared" si="155"/>
        <v>21.806577872402684</v>
      </c>
      <c r="P155" s="11">
        <f t="shared" si="155"/>
        <v>25.770202574421965</v>
      </c>
      <c r="Q155" s="11">
        <f t="shared" si="155"/>
        <v>28.300759774136683</v>
      </c>
      <c r="S155" s="31">
        <f t="shared" si="150"/>
        <v>1.7588562032113675</v>
      </c>
      <c r="T155" s="31">
        <f t="shared" si="151"/>
        <v>1.75303500942805</v>
      </c>
      <c r="W155" s="10" t="str">
        <f t="shared" ref="W155:AB155" si="156">W10</f>
        <v>21 Science, research, engineering and technology professionals</v>
      </c>
      <c r="X155" s="11">
        <f t="shared" si="156"/>
        <v>3.7065420095005157</v>
      </c>
      <c r="Y155" s="11">
        <f t="shared" si="156"/>
        <v>3.9071201634243011</v>
      </c>
      <c r="Z155" s="11">
        <f t="shared" si="156"/>
        <v>4.8675743673321961</v>
      </c>
      <c r="AA155" s="11">
        <f t="shared" si="156"/>
        <v>6.5611500421714508</v>
      </c>
      <c r="AB155" s="11">
        <f t="shared" si="156"/>
        <v>8.1593881141135594</v>
      </c>
      <c r="AD155" s="31">
        <f t="shared" si="153"/>
        <v>5.6011709206503779</v>
      </c>
      <c r="AE155" s="31">
        <f t="shared" si="154"/>
        <v>3.5038091660962278</v>
      </c>
    </row>
    <row r="156" spans="1:31">
      <c r="A156" s="10" t="str">
        <f t="shared" si="142"/>
        <v>22 Health professionals</v>
      </c>
      <c r="B156" s="11">
        <f t="shared" si="142"/>
        <v>21.674771905892207</v>
      </c>
      <c r="C156" s="11">
        <f t="shared" si="146"/>
        <v>27.315802663195459</v>
      </c>
      <c r="D156" s="11">
        <f t="shared" si="146"/>
        <v>26.885303796114776</v>
      </c>
      <c r="E156" s="11">
        <f t="shared" si="146"/>
        <v>26.54413441665373</v>
      </c>
      <c r="F156" s="11">
        <f t="shared" si="146"/>
        <v>28.579623063913772</v>
      </c>
      <c r="H156" s="31">
        <f t="shared" si="147"/>
        <v>4.4027846668944992</v>
      </c>
      <c r="I156" s="31">
        <f t="shared" si="148"/>
        <v>0.40825893933129631</v>
      </c>
      <c r="L156" s="10" t="str">
        <f t="shared" ref="L156:Q156" si="157">L11</f>
        <v>22 Health professionals</v>
      </c>
      <c r="M156" s="11">
        <f t="shared" si="157"/>
        <v>5.0825544000815421</v>
      </c>
      <c r="N156" s="11">
        <f t="shared" si="157"/>
        <v>6.4601621724174176</v>
      </c>
      <c r="O156" s="11">
        <f t="shared" si="157"/>
        <v>6.8725916386043506</v>
      </c>
      <c r="P156" s="11">
        <f t="shared" si="157"/>
        <v>6.7683171970345866</v>
      </c>
      <c r="Q156" s="11">
        <f t="shared" si="157"/>
        <v>7.2080802251589775</v>
      </c>
      <c r="S156" s="31">
        <f t="shared" si="150"/>
        <v>6.2203433070944447</v>
      </c>
      <c r="T156" s="31">
        <f t="shared" si="151"/>
        <v>0.3182478378464193</v>
      </c>
      <c r="W156" s="10" t="str">
        <f t="shared" ref="W156:AB156" si="158">W11</f>
        <v>22 Health professionals</v>
      </c>
      <c r="X156" s="11">
        <f t="shared" si="158"/>
        <v>16.592217505810641</v>
      </c>
      <c r="Y156" s="11">
        <f t="shared" si="158"/>
        <v>20.855640490778033</v>
      </c>
      <c r="Z156" s="11">
        <f t="shared" si="158"/>
        <v>20.01271215751045</v>
      </c>
      <c r="AA156" s="11">
        <f t="shared" si="158"/>
        <v>19.77581721961911</v>
      </c>
      <c r="AB156" s="11">
        <f t="shared" si="158"/>
        <v>21.371542838754806</v>
      </c>
      <c r="AD156" s="31">
        <f t="shared" si="153"/>
        <v>3.8198275962954664</v>
      </c>
      <c r="AE156" s="31">
        <f t="shared" si="154"/>
        <v>0.43891096289416787</v>
      </c>
    </row>
    <row r="157" spans="1:31">
      <c r="A157" s="10" t="str">
        <f t="shared" si="142"/>
        <v>23 Teaching and other educational professionals</v>
      </c>
      <c r="B157" s="11">
        <f t="shared" si="142"/>
        <v>19.540374765671235</v>
      </c>
      <c r="C157" s="11">
        <f t="shared" si="146"/>
        <v>20.765597855160532</v>
      </c>
      <c r="D157" s="11">
        <f t="shared" si="146"/>
        <v>22.026617843508607</v>
      </c>
      <c r="E157" s="11">
        <f t="shared" si="146"/>
        <v>21.969692618216403</v>
      </c>
      <c r="F157" s="11">
        <f t="shared" si="146"/>
        <v>24.165356288680911</v>
      </c>
      <c r="H157" s="31">
        <f t="shared" si="147"/>
        <v>2.4242955423134038</v>
      </c>
      <c r="I157" s="31">
        <f t="shared" si="148"/>
        <v>0.61970175648629056</v>
      </c>
      <c r="L157" s="10" t="str">
        <f t="shared" ref="L157:Q157" si="159">L12</f>
        <v>23 Teaching and other educational professionals</v>
      </c>
      <c r="M157" s="11">
        <f t="shared" si="159"/>
        <v>6.5723400569597734</v>
      </c>
      <c r="N157" s="11">
        <f t="shared" si="159"/>
        <v>6.636670282223009</v>
      </c>
      <c r="O157" s="11">
        <f t="shared" si="159"/>
        <v>7.1451073437704435</v>
      </c>
      <c r="P157" s="11">
        <f t="shared" si="159"/>
        <v>7.2878052434135228</v>
      </c>
      <c r="Q157" s="11">
        <f t="shared" si="159"/>
        <v>7.8222420300595887</v>
      </c>
      <c r="S157" s="31">
        <f t="shared" si="150"/>
        <v>1.6851998099975285</v>
      </c>
      <c r="T157" s="31">
        <f t="shared" si="151"/>
        <v>0.60544802665907227</v>
      </c>
      <c r="W157" s="10" t="str">
        <f t="shared" ref="W157:AB157" si="160">W12</f>
        <v>23 Teaching and other educational professionals</v>
      </c>
      <c r="X157" s="11">
        <f t="shared" si="160"/>
        <v>12.968034708711482</v>
      </c>
      <c r="Y157" s="11">
        <f t="shared" si="160"/>
        <v>14.128927572937538</v>
      </c>
      <c r="Z157" s="11">
        <f t="shared" si="160"/>
        <v>14.881510499738123</v>
      </c>
      <c r="AA157" s="11">
        <f t="shared" si="160"/>
        <v>14.681887374802837</v>
      </c>
      <c r="AB157" s="11">
        <f t="shared" si="160"/>
        <v>16.343114258621309</v>
      </c>
      <c r="AD157" s="31">
        <f t="shared" si="153"/>
        <v>2.7908767043660632</v>
      </c>
      <c r="AE157" s="31">
        <f t="shared" si="154"/>
        <v>0.62653541359121157</v>
      </c>
    </row>
    <row r="158" spans="1:31">
      <c r="A158" s="10" t="str">
        <f t="shared" si="142"/>
        <v>24 Business, media and public service professionals</v>
      </c>
      <c r="B158" s="11">
        <f t="shared" si="142"/>
        <v>22.806193659159341</v>
      </c>
      <c r="C158" s="11">
        <f t="shared" si="146"/>
        <v>25.456333561960076</v>
      </c>
      <c r="D158" s="11">
        <f t="shared" si="146"/>
        <v>27.957759360330201</v>
      </c>
      <c r="E158" s="11">
        <f t="shared" si="146"/>
        <v>29.117208402464584</v>
      </c>
      <c r="F158" s="11">
        <f t="shared" si="146"/>
        <v>32.53409025770577</v>
      </c>
      <c r="H158" s="31">
        <f t="shared" si="147"/>
        <v>4.1573473635407421</v>
      </c>
      <c r="I158" s="31">
        <f t="shared" si="148"/>
        <v>1.015748682921247</v>
      </c>
      <c r="L158" s="10" t="str">
        <f t="shared" ref="L158:Q158" si="161">L13</f>
        <v>24 Business, media and public service professionals</v>
      </c>
      <c r="M158" s="11">
        <f t="shared" si="161"/>
        <v>13.893541405818606</v>
      </c>
      <c r="N158" s="11">
        <f t="shared" si="161"/>
        <v>14.748466692046149</v>
      </c>
      <c r="O158" s="11">
        <f t="shared" si="161"/>
        <v>16.215269174648807</v>
      </c>
      <c r="P158" s="11">
        <f t="shared" si="161"/>
        <v>17.07537919751244</v>
      </c>
      <c r="Q158" s="11">
        <f t="shared" si="161"/>
        <v>18.434762102201113</v>
      </c>
      <c r="S158" s="31">
        <f t="shared" si="150"/>
        <v>3.1388395104178013</v>
      </c>
      <c r="T158" s="31">
        <f t="shared" si="151"/>
        <v>0.85889946905082226</v>
      </c>
      <c r="W158" s="10" t="str">
        <f t="shared" ref="W158:AB158" si="162">W13</f>
        <v>24 Business, media and public service professionals</v>
      </c>
      <c r="X158" s="11">
        <f t="shared" si="162"/>
        <v>8.9126522533407151</v>
      </c>
      <c r="Y158" s="11">
        <f t="shared" si="162"/>
        <v>10.707866869913953</v>
      </c>
      <c r="Z158" s="11">
        <f t="shared" si="162"/>
        <v>11.742490185681445</v>
      </c>
      <c r="AA158" s="11">
        <f t="shared" si="162"/>
        <v>12.041829204952135</v>
      </c>
      <c r="AB158" s="11">
        <f t="shared" si="162"/>
        <v>14.099328155504613</v>
      </c>
      <c r="AD158" s="31">
        <f t="shared" si="153"/>
        <v>5.6697424208443925</v>
      </c>
      <c r="AE158" s="31">
        <f t="shared" si="154"/>
        <v>1.2268868895596308</v>
      </c>
    </row>
    <row r="159" spans="1:31">
      <c r="A159" s="10" t="str">
        <f t="shared" si="142"/>
        <v>31 Science, engineering and technology associate professionals</v>
      </c>
      <c r="B159" s="11">
        <f t="shared" si="142"/>
        <v>7.6396337675645283</v>
      </c>
      <c r="C159" s="11">
        <f t="shared" si="146"/>
        <v>8.077817744101548</v>
      </c>
      <c r="D159" s="11">
        <f t="shared" si="146"/>
        <v>8.7119007645620972</v>
      </c>
      <c r="E159" s="11">
        <f t="shared" si="146"/>
        <v>8.0146156799495873</v>
      </c>
      <c r="F159" s="11">
        <f t="shared" si="146"/>
        <v>8.4283160725445487</v>
      </c>
      <c r="H159" s="31">
        <f t="shared" si="147"/>
        <v>2.6616112272142889</v>
      </c>
      <c r="I159" s="31">
        <f t="shared" si="148"/>
        <v>-0.22037679293600565</v>
      </c>
      <c r="L159" s="10" t="str">
        <f t="shared" ref="L159:Q159" si="163">L14</f>
        <v>31 Science, engineering and technology associate professionals</v>
      </c>
      <c r="M159" s="11">
        <f t="shared" si="163"/>
        <v>5.9852648662886345</v>
      </c>
      <c r="N159" s="11">
        <f t="shared" si="163"/>
        <v>6.4562749389300134</v>
      </c>
      <c r="O159" s="11">
        <f t="shared" si="163"/>
        <v>6.7208561905131106</v>
      </c>
      <c r="P159" s="11">
        <f t="shared" si="163"/>
        <v>5.9186946402459135</v>
      </c>
      <c r="Q159" s="11">
        <f t="shared" si="163"/>
        <v>5.9693453417966023</v>
      </c>
      <c r="S159" s="31">
        <f t="shared" si="150"/>
        <v>2.3453806818395817</v>
      </c>
      <c r="T159" s="31">
        <f t="shared" si="151"/>
        <v>-0.78740554141478736</v>
      </c>
      <c r="W159" s="10" t="str">
        <f t="shared" ref="W159:AB159" si="164">W14</f>
        <v>31 Science, engineering and technology associate professionals</v>
      </c>
      <c r="X159" s="11">
        <f t="shared" si="164"/>
        <v>1.6543689012758929</v>
      </c>
      <c r="Y159" s="11">
        <f t="shared" si="164"/>
        <v>1.6215428051715406</v>
      </c>
      <c r="Z159" s="11">
        <f t="shared" si="164"/>
        <v>1.9910445740489724</v>
      </c>
      <c r="AA159" s="11">
        <f t="shared" si="164"/>
        <v>2.0959210397036738</v>
      </c>
      <c r="AB159" s="11">
        <f t="shared" si="164"/>
        <v>2.4589707307479522</v>
      </c>
      <c r="AD159" s="31">
        <f t="shared" si="153"/>
        <v>3.7742790832917317</v>
      </c>
      <c r="AE159" s="31">
        <f t="shared" si="154"/>
        <v>1.4171709756978013</v>
      </c>
    </row>
    <row r="160" spans="1:31">
      <c r="A160" s="10" t="str">
        <f t="shared" si="142"/>
        <v>32 Health and social care associate professionals</v>
      </c>
      <c r="B160" s="11">
        <f t="shared" si="142"/>
        <v>9.0328897579836376</v>
      </c>
      <c r="C160" s="11">
        <f t="shared" si="146"/>
        <v>10.95672977042833</v>
      </c>
      <c r="D160" s="11">
        <f t="shared" si="146"/>
        <v>11.001883705458065</v>
      </c>
      <c r="E160" s="11">
        <f t="shared" si="146"/>
        <v>17.680149098148942</v>
      </c>
      <c r="F160" s="11">
        <f t="shared" si="146"/>
        <v>21.055821572998454</v>
      </c>
      <c r="H160" s="31">
        <f t="shared" si="147"/>
        <v>4.0226870496867573</v>
      </c>
      <c r="I160" s="31">
        <f t="shared" si="148"/>
        <v>4.422401319894731</v>
      </c>
      <c r="L160" s="10" t="str">
        <f t="shared" ref="L160:Q160" si="165">L15</f>
        <v>32 Health and social care associate professionals</v>
      </c>
      <c r="M160" s="11">
        <f t="shared" si="165"/>
        <v>2.0898092470984437</v>
      </c>
      <c r="N160" s="11">
        <f t="shared" si="165"/>
        <v>2.3358003727577166</v>
      </c>
      <c r="O160" s="11">
        <f t="shared" si="165"/>
        <v>2.4607813380873722</v>
      </c>
      <c r="P160" s="11">
        <f t="shared" si="165"/>
        <v>3.284403538104105</v>
      </c>
      <c r="Q160" s="11">
        <f t="shared" si="165"/>
        <v>3.6552006282453262</v>
      </c>
      <c r="S160" s="31">
        <f t="shared" si="150"/>
        <v>3.3221121498853146</v>
      </c>
      <c r="T160" s="31">
        <f>IF(Q$151-O$151 &lt;&gt; 0,(EXP(LN(Q160/O160)/(Q$151-O$151))-1)*100,0)</f>
        <v>2.6729120135512208</v>
      </c>
      <c r="W160" s="10" t="str">
        <f t="shared" ref="W160:AB160" si="166">W15</f>
        <v>32 Health and social care associate professionals</v>
      </c>
      <c r="X160" s="11">
        <f t="shared" si="166"/>
        <v>6.9430805108852143</v>
      </c>
      <c r="Y160" s="11">
        <f t="shared" si="166"/>
        <v>8.6209293976705972</v>
      </c>
      <c r="Z160" s="11">
        <f t="shared" si="166"/>
        <v>8.5411023673706872</v>
      </c>
      <c r="AA160" s="11">
        <f t="shared" si="166"/>
        <v>14.395745560044855</v>
      </c>
      <c r="AB160" s="11">
        <f t="shared" si="166"/>
        <v>17.400620944753129</v>
      </c>
      <c r="AD160" s="31">
        <f t="shared" si="153"/>
        <v>4.2299057719797029</v>
      </c>
      <c r="AE160" s="31">
        <f t="shared" si="154"/>
        <v>4.8584389427574814</v>
      </c>
    </row>
    <row r="161" spans="1:31">
      <c r="A161" s="10" t="str">
        <f t="shared" si="142"/>
        <v>33 Protective service occupations</v>
      </c>
      <c r="B161" s="11">
        <f t="shared" si="142"/>
        <v>4.4444232941510675</v>
      </c>
      <c r="C161" s="11">
        <f t="shared" si="146"/>
        <v>4.4270085893151121</v>
      </c>
      <c r="D161" s="11">
        <f t="shared" si="146"/>
        <v>4.6873216411379666</v>
      </c>
      <c r="E161" s="11">
        <f t="shared" si="146"/>
        <v>4.0581613546153656</v>
      </c>
      <c r="F161" s="11">
        <f t="shared" si="146"/>
        <v>4.4519253372123764</v>
      </c>
      <c r="H161" s="31">
        <f t="shared" si="147"/>
        <v>1.0699074651868257</v>
      </c>
      <c r="I161" s="31">
        <f t="shared" si="148"/>
        <v>-0.34290857454674084</v>
      </c>
      <c r="L161" s="10" t="str">
        <f t="shared" ref="L161:Q161" si="167">L16</f>
        <v>33 Protective service occupations</v>
      </c>
      <c r="M161" s="11">
        <f t="shared" si="167"/>
        <v>3.4291501970427154</v>
      </c>
      <c r="N161" s="11">
        <f t="shared" si="167"/>
        <v>3.2746787311090442</v>
      </c>
      <c r="O161" s="11">
        <f t="shared" si="167"/>
        <v>3.4149050526208469</v>
      </c>
      <c r="P161" s="11">
        <f t="shared" si="167"/>
        <v>2.9281935889455317</v>
      </c>
      <c r="Q161" s="11">
        <f t="shared" si="167"/>
        <v>2.9406514003190516</v>
      </c>
      <c r="S161" s="31">
        <f t="shared" si="150"/>
        <v>-8.3221050461312895E-2</v>
      </c>
      <c r="T161" s="31">
        <f t="shared" si="151"/>
        <v>-0.99183896330080623</v>
      </c>
      <c r="W161" s="10" t="str">
        <f t="shared" ref="W161:AB161" si="168">W16</f>
        <v>33 Protective service occupations</v>
      </c>
      <c r="X161" s="11">
        <f t="shared" si="168"/>
        <v>1.0152730971083521</v>
      </c>
      <c r="Y161" s="11">
        <f t="shared" si="168"/>
        <v>1.1523298582060681</v>
      </c>
      <c r="Z161" s="11">
        <f t="shared" si="168"/>
        <v>1.2724165885171148</v>
      </c>
      <c r="AA161" s="11">
        <f t="shared" si="168"/>
        <v>1.1299677656698359</v>
      </c>
      <c r="AB161" s="11">
        <f t="shared" si="168"/>
        <v>1.5112739368933152</v>
      </c>
      <c r="AD161" s="31">
        <f t="shared" si="153"/>
        <v>4.6186926919124849</v>
      </c>
      <c r="AE161" s="31">
        <f t="shared" si="154"/>
        <v>1.1535024102477198</v>
      </c>
    </row>
    <row r="162" spans="1:31">
      <c r="A162" s="10" t="str">
        <f t="shared" si="142"/>
        <v>34 Culture, media and sports occupations</v>
      </c>
      <c r="B162" s="11">
        <f t="shared" si="142"/>
        <v>7.5269975158661087</v>
      </c>
      <c r="C162" s="11">
        <f t="shared" si="146"/>
        <v>7.4707121265529306</v>
      </c>
      <c r="D162" s="11">
        <f t="shared" si="146"/>
        <v>7.6956038424600592</v>
      </c>
      <c r="E162" s="11">
        <f t="shared" si="146"/>
        <v>6.6237757922128777</v>
      </c>
      <c r="F162" s="11">
        <f t="shared" si="146"/>
        <v>7.2418470917099587</v>
      </c>
      <c r="H162" s="31">
        <f t="shared" si="147"/>
        <v>0.44404316777670871</v>
      </c>
      <c r="I162" s="31">
        <f t="shared" si="148"/>
        <v>-0.40433329111217997</v>
      </c>
      <c r="L162" s="10" t="str">
        <f t="shared" ref="L162:Q162" si="169">L17</f>
        <v>34 Culture, media and sports occupations</v>
      </c>
      <c r="M162" s="11">
        <f t="shared" si="169"/>
        <v>4.5169862879842979</v>
      </c>
      <c r="N162" s="11">
        <f t="shared" si="169"/>
        <v>4.4974358578884148</v>
      </c>
      <c r="O162" s="11">
        <f t="shared" si="169"/>
        <v>4.5437609296462051</v>
      </c>
      <c r="P162" s="11">
        <f t="shared" si="169"/>
        <v>3.8793310026760071</v>
      </c>
      <c r="Q162" s="11">
        <f t="shared" si="169"/>
        <v>4.137314928784833</v>
      </c>
      <c r="S162" s="31">
        <f t="shared" si="150"/>
        <v>0.11827081883093449</v>
      </c>
      <c r="T162" s="31">
        <f t="shared" si="151"/>
        <v>-0.62277306753838468</v>
      </c>
      <c r="W162" s="10" t="str">
        <f t="shared" ref="W162:AB162" si="170">W17</f>
        <v>34 Culture, media and sports occupations</v>
      </c>
      <c r="X162" s="11">
        <f t="shared" si="170"/>
        <v>3.0100112278818068</v>
      </c>
      <c r="Y162" s="11">
        <f t="shared" si="170"/>
        <v>2.9732762686645247</v>
      </c>
      <c r="Z162" s="11">
        <f t="shared" si="170"/>
        <v>3.1518429128138599</v>
      </c>
      <c r="AA162" s="11">
        <f t="shared" si="170"/>
        <v>2.7444447895368782</v>
      </c>
      <c r="AB162" s="11">
        <f t="shared" si="170"/>
        <v>3.1045321629251275</v>
      </c>
      <c r="AD162" s="31">
        <f t="shared" si="153"/>
        <v>0.9251235473493935</v>
      </c>
      <c r="AE162" s="31">
        <f t="shared" si="154"/>
        <v>-0.10077786217630447</v>
      </c>
    </row>
    <row r="163" spans="1:31">
      <c r="A163" s="10" t="str">
        <f t="shared" si="142"/>
        <v>35 Business and public service associate professionals</v>
      </c>
      <c r="B163" s="11">
        <f t="shared" si="142"/>
        <v>27.483441028271098</v>
      </c>
      <c r="C163" s="11">
        <f t="shared" si="146"/>
        <v>27.784113801495693</v>
      </c>
      <c r="D163" s="11">
        <f t="shared" si="146"/>
        <v>28.718892057032409</v>
      </c>
      <c r="E163" s="11">
        <f t="shared" si="146"/>
        <v>28.782348842639074</v>
      </c>
      <c r="F163" s="11">
        <f t="shared" si="146"/>
        <v>30.332034577933754</v>
      </c>
      <c r="H163" s="31">
        <f t="shared" si="147"/>
        <v>0.88330808713674713</v>
      </c>
      <c r="I163" s="31">
        <f t="shared" si="148"/>
        <v>0.36499271392635979</v>
      </c>
      <c r="L163" s="10" t="str">
        <f t="shared" ref="L163:Q163" si="171">L18</f>
        <v>35 Business and public service associate professionals</v>
      </c>
      <c r="M163" s="11">
        <f t="shared" si="171"/>
        <v>15.423996768819533</v>
      </c>
      <c r="N163" s="11">
        <f t="shared" si="171"/>
        <v>15.073483017849448</v>
      </c>
      <c r="O163" s="11">
        <f t="shared" si="171"/>
        <v>15.700778568083784</v>
      </c>
      <c r="P163" s="11">
        <f t="shared" si="171"/>
        <v>15.597850156235705</v>
      </c>
      <c r="Q163" s="11">
        <f t="shared" si="171"/>
        <v>15.753402090816163</v>
      </c>
      <c r="S163" s="31">
        <f t="shared" si="150"/>
        <v>0.35634887969591134</v>
      </c>
      <c r="T163" s="31">
        <f t="shared" si="151"/>
        <v>2.2309463279701625E-2</v>
      </c>
      <c r="W163" s="10" t="str">
        <f t="shared" ref="W163:AB163" si="172">W18</f>
        <v>35 Business and public service associate professionals</v>
      </c>
      <c r="X163" s="11">
        <f t="shared" si="172"/>
        <v>12.059444259451524</v>
      </c>
      <c r="Y163" s="11">
        <f t="shared" si="172"/>
        <v>12.710630783646232</v>
      </c>
      <c r="Z163" s="11">
        <f t="shared" si="172"/>
        <v>13.018113488948627</v>
      </c>
      <c r="AA163" s="11">
        <f t="shared" si="172"/>
        <v>13.184498686403362</v>
      </c>
      <c r="AB163" s="11">
        <f t="shared" si="172"/>
        <v>14.578632487117588</v>
      </c>
      <c r="AD163" s="31">
        <f t="shared" si="153"/>
        <v>1.541634936590186</v>
      </c>
      <c r="AE163" s="31">
        <f t="shared" si="154"/>
        <v>0.75762352299144631</v>
      </c>
    </row>
    <row r="164" spans="1:31">
      <c r="A164" s="10" t="str">
        <f t="shared" si="142"/>
        <v>41 Administrative occupations</v>
      </c>
      <c r="B164" s="11">
        <f t="shared" si="142"/>
        <v>49.13839945665805</v>
      </c>
      <c r="C164" s="11">
        <f t="shared" si="146"/>
        <v>45.165151846246381</v>
      </c>
      <c r="D164" s="11">
        <f t="shared" si="146"/>
        <v>47.19806700974938</v>
      </c>
      <c r="E164" s="11">
        <f t="shared" si="146"/>
        <v>48.934345395177246</v>
      </c>
      <c r="F164" s="11">
        <f t="shared" si="146"/>
        <v>48.119806641230511</v>
      </c>
      <c r="H164" s="31">
        <f t="shared" si="147"/>
        <v>-0.80251961659546511</v>
      </c>
      <c r="I164" s="31">
        <f t="shared" si="148"/>
        <v>0.12902272457058217</v>
      </c>
      <c r="L164" s="10" t="str">
        <f t="shared" ref="L164:Q164" si="173">L19</f>
        <v>41 Administrative occupations</v>
      </c>
      <c r="M164" s="11">
        <f t="shared" si="173"/>
        <v>15.614024343375872</v>
      </c>
      <c r="N164" s="11">
        <f t="shared" si="173"/>
        <v>13.602661795013343</v>
      </c>
      <c r="O164" s="11">
        <f t="shared" si="173"/>
        <v>16.23011080316379</v>
      </c>
      <c r="P164" s="11">
        <f t="shared" si="173"/>
        <v>17.555947300787484</v>
      </c>
      <c r="Q164" s="11">
        <f t="shared" si="173"/>
        <v>19.651714866681374</v>
      </c>
      <c r="S164" s="31">
        <f t="shared" si="150"/>
        <v>0.77697695714709081</v>
      </c>
      <c r="T164" s="31">
        <f t="shared" si="151"/>
        <v>1.283476059456401</v>
      </c>
      <c r="W164" s="10" t="str">
        <f t="shared" ref="W164:AB164" si="174">W19</f>
        <v>41 Administrative occupations</v>
      </c>
      <c r="X164" s="11">
        <f t="shared" si="174"/>
        <v>33.524375113282282</v>
      </c>
      <c r="Y164" s="11">
        <f t="shared" si="174"/>
        <v>31.562490051233027</v>
      </c>
      <c r="Z164" s="11">
        <f t="shared" si="174"/>
        <v>30.967956206585573</v>
      </c>
      <c r="AA164" s="11">
        <f t="shared" si="174"/>
        <v>31.378398094389798</v>
      </c>
      <c r="AB164" s="11">
        <f t="shared" si="174"/>
        <v>28.468091774549112</v>
      </c>
      <c r="AD164" s="31">
        <f t="shared" si="153"/>
        <v>-1.5738788276272619</v>
      </c>
      <c r="AE164" s="31">
        <f t="shared" si="154"/>
        <v>-0.55955612621606532</v>
      </c>
    </row>
    <row r="165" spans="1:31">
      <c r="A165" s="10" t="str">
        <f t="shared" si="142"/>
        <v>42 Secretarial and related occupations</v>
      </c>
      <c r="B165" s="11">
        <f t="shared" si="142"/>
        <v>10.999553279205751</v>
      </c>
      <c r="C165" s="11">
        <f t="shared" si="146"/>
        <v>9.4948630690001181</v>
      </c>
      <c r="D165" s="11">
        <f t="shared" si="146"/>
        <v>9.2803332734652102</v>
      </c>
      <c r="E165" s="11">
        <f t="shared" si="146"/>
        <v>8.5683495355485668</v>
      </c>
      <c r="F165" s="11">
        <f t="shared" si="146"/>
        <v>5.4074642547867375</v>
      </c>
      <c r="H165" s="31">
        <f t="shared" si="147"/>
        <v>-3.3420221813353468</v>
      </c>
      <c r="I165" s="31">
        <f t="shared" si="148"/>
        <v>-3.5367242946928501</v>
      </c>
      <c r="L165" s="10" t="str">
        <f t="shared" ref="L165:Q165" si="175">L20</f>
        <v>42 Secretarial and related occupations</v>
      </c>
      <c r="M165" s="11">
        <f t="shared" si="175"/>
        <v>0.98392418673063797</v>
      </c>
      <c r="N165" s="11">
        <f t="shared" si="175"/>
        <v>0.69844209737340934</v>
      </c>
      <c r="O165" s="11">
        <f t="shared" si="175"/>
        <v>0.71673135991795822</v>
      </c>
      <c r="P165" s="11">
        <f t="shared" si="175"/>
        <v>0.62800235257834147</v>
      </c>
      <c r="Q165" s="11">
        <f t="shared" si="175"/>
        <v>0.72159592784091953</v>
      </c>
      <c r="S165" s="31">
        <f>IF(O$151-M$151 &lt;&gt; 0,(EXP(LN(O165/M165)/(O$151-M$151))-1)*100,0)</f>
        <v>-6.1403448773678644</v>
      </c>
      <c r="T165" s="31">
        <f t="shared" si="151"/>
        <v>4.5105019016000725E-2</v>
      </c>
      <c r="W165" s="10" t="str">
        <f t="shared" ref="W165:AB165" si="176">W20</f>
        <v>42 Secretarial and related occupations</v>
      </c>
      <c r="X165" s="11">
        <f t="shared" si="176"/>
        <v>10.015629092475114</v>
      </c>
      <c r="Y165" s="11">
        <f t="shared" si="176"/>
        <v>8.7964209716267145</v>
      </c>
      <c r="Z165" s="11">
        <f t="shared" si="176"/>
        <v>8.5636019135472488</v>
      </c>
      <c r="AA165" s="11">
        <f t="shared" si="176"/>
        <v>7.9403471829702177</v>
      </c>
      <c r="AB165" s="11">
        <f t="shared" si="176"/>
        <v>4.6858683269458146</v>
      </c>
      <c r="AD165" s="31">
        <f t="shared" si="153"/>
        <v>-3.0839629008148184</v>
      </c>
      <c r="AE165" s="31">
        <f t="shared" si="154"/>
        <v>-3.940075562194234</v>
      </c>
    </row>
    <row r="166" spans="1:31">
      <c r="A166" s="10" t="str">
        <f t="shared" si="142"/>
        <v>51 Skilled agricultural and related trades</v>
      </c>
      <c r="B166" s="11">
        <f t="shared" si="142"/>
        <v>4.3313158907234133</v>
      </c>
      <c r="C166" s="11">
        <f t="shared" si="146"/>
        <v>3.8065912759839784</v>
      </c>
      <c r="D166" s="11">
        <f t="shared" si="146"/>
        <v>3.1931450848658716</v>
      </c>
      <c r="E166" s="11">
        <f t="shared" si="146"/>
        <v>3.1783302802326965</v>
      </c>
      <c r="F166" s="11">
        <f t="shared" si="146"/>
        <v>3.5350171502669578</v>
      </c>
      <c r="H166" s="31">
        <f t="shared" si="147"/>
        <v>-5.9151366231925406</v>
      </c>
      <c r="I166" s="31">
        <f t="shared" si="148"/>
        <v>0.6803828236388032</v>
      </c>
      <c r="L166" s="10" t="str">
        <f t="shared" ref="L166:Q166" si="177">L21</f>
        <v>51 Skilled agricultural and related trades</v>
      </c>
      <c r="M166" s="11">
        <f t="shared" si="177"/>
        <v>3.720569195128824</v>
      </c>
      <c r="N166" s="11">
        <f t="shared" si="177"/>
        <v>3.234923637625847</v>
      </c>
      <c r="O166" s="11">
        <f t="shared" si="177"/>
        <v>2.619953984996287</v>
      </c>
      <c r="P166" s="11">
        <f t="shared" si="177"/>
        <v>2.5539887903192455</v>
      </c>
      <c r="Q166" s="11">
        <f t="shared" si="177"/>
        <v>2.7941578191640217</v>
      </c>
      <c r="S166" s="31">
        <f t="shared" si="150"/>
        <v>-6.7740418614765652</v>
      </c>
      <c r="T166" s="31">
        <f t="shared" si="151"/>
        <v>0.43008214084976348</v>
      </c>
      <c r="W166" s="10" t="str">
        <f t="shared" ref="W166:AB166" si="178">W21</f>
        <v>51 Skilled agricultural and related trades</v>
      </c>
      <c r="X166" s="11">
        <f t="shared" si="178"/>
        <v>0.61074669559458605</v>
      </c>
      <c r="Y166" s="11">
        <f t="shared" si="178"/>
        <v>0.57166763835812839</v>
      </c>
      <c r="Z166" s="11">
        <f t="shared" si="178"/>
        <v>0.57319109986958328</v>
      </c>
      <c r="AA166" s="11">
        <f t="shared" si="178"/>
        <v>0.6243414899134464</v>
      </c>
      <c r="AB166" s="11">
        <f t="shared" si="178"/>
        <v>0.74085933110293289</v>
      </c>
      <c r="AD166" s="31">
        <f t="shared" si="153"/>
        <v>-1.2612414539911909</v>
      </c>
      <c r="AE166" s="31">
        <f t="shared" si="154"/>
        <v>1.7253254084360403</v>
      </c>
    </row>
    <row r="167" spans="1:31">
      <c r="A167" s="10" t="str">
        <f t="shared" si="142"/>
        <v>52 Skilled metal, electrical and electronic trades</v>
      </c>
      <c r="B167" s="11">
        <f t="shared" si="142"/>
        <v>28.622677836919465</v>
      </c>
      <c r="C167" s="11">
        <f t="shared" si="146"/>
        <v>28.343637186861034</v>
      </c>
      <c r="D167" s="11">
        <f t="shared" si="146"/>
        <v>23.236826282247673</v>
      </c>
      <c r="E167" s="11">
        <f t="shared" si="146"/>
        <v>22.623948301451765</v>
      </c>
      <c r="F167" s="11">
        <f t="shared" si="146"/>
        <v>20.841134342227381</v>
      </c>
      <c r="H167" s="31">
        <f t="shared" si="147"/>
        <v>-4.083502909618753</v>
      </c>
      <c r="I167" s="31">
        <f t="shared" si="148"/>
        <v>-0.72277342843283243</v>
      </c>
      <c r="L167" s="10" t="str">
        <f t="shared" ref="L167:Q167" si="179">L22</f>
        <v>52 Skilled metal, electrical and electronic trades</v>
      </c>
      <c r="M167" s="11">
        <f t="shared" si="179"/>
        <v>28.257827507545212</v>
      </c>
      <c r="N167" s="11">
        <f t="shared" si="179"/>
        <v>27.756675965101635</v>
      </c>
      <c r="O167" s="11">
        <f t="shared" si="179"/>
        <v>22.785499260413552</v>
      </c>
      <c r="P167" s="11">
        <f t="shared" si="179"/>
        <v>21.885954725295111</v>
      </c>
      <c r="Q167" s="11">
        <f t="shared" si="179"/>
        <v>19.96974145302606</v>
      </c>
      <c r="S167" s="31">
        <f t="shared" si="150"/>
        <v>-4.213576921125572</v>
      </c>
      <c r="T167" s="31">
        <f t="shared" si="151"/>
        <v>-0.87551905154897858</v>
      </c>
      <c r="W167" s="10" t="str">
        <f t="shared" ref="W167:AB167" si="180">W22</f>
        <v>52 Skilled metal, electrical and electronic trades</v>
      </c>
      <c r="X167" s="11">
        <f t="shared" si="180"/>
        <v>0.36485032937425493</v>
      </c>
      <c r="Y167" s="11">
        <f t="shared" si="180"/>
        <v>0.58696122175943066</v>
      </c>
      <c r="Z167" s="11">
        <f t="shared" si="180"/>
        <v>0.45132702183413442</v>
      </c>
      <c r="AA167" s="11">
        <f t="shared" si="180"/>
        <v>0.73799357615662997</v>
      </c>
      <c r="AB167" s="11">
        <f t="shared" si="180"/>
        <v>0.8713928892013374</v>
      </c>
      <c r="AD167" s="31">
        <f t="shared" si="153"/>
        <v>4.3458830549371052</v>
      </c>
      <c r="AE167" s="31">
        <f t="shared" si="154"/>
        <v>4.4836121433426301</v>
      </c>
    </row>
    <row r="168" spans="1:31">
      <c r="A168" s="10" t="str">
        <f t="shared" si="142"/>
        <v>53 Skilled construction and building trades</v>
      </c>
      <c r="B168" s="11">
        <f t="shared" si="142"/>
        <v>18.67563056886091</v>
      </c>
      <c r="C168" s="11">
        <f t="shared" si="146"/>
        <v>21.339556958033437</v>
      </c>
      <c r="D168" s="11">
        <f t="shared" si="146"/>
        <v>17.473473402618112</v>
      </c>
      <c r="E168" s="11">
        <f t="shared" si="146"/>
        <v>16.813170514329276</v>
      </c>
      <c r="F168" s="11">
        <f t="shared" si="146"/>
        <v>14.401581227548823</v>
      </c>
      <c r="H168" s="31">
        <f t="shared" si="147"/>
        <v>-1.3218965885935408</v>
      </c>
      <c r="I168" s="31">
        <f t="shared" si="148"/>
        <v>-1.2807011061727547</v>
      </c>
      <c r="L168" s="10" t="str">
        <f t="shared" ref="L168:Q168" si="181">L23</f>
        <v>53 Skilled construction and building trades</v>
      </c>
      <c r="M168" s="11">
        <f t="shared" si="181"/>
        <v>18.431515324301849</v>
      </c>
      <c r="N168" s="11">
        <f t="shared" si="181"/>
        <v>21.107864999136247</v>
      </c>
      <c r="O168" s="11">
        <f t="shared" si="181"/>
        <v>17.18800702433489</v>
      </c>
      <c r="P168" s="11">
        <f t="shared" si="181"/>
        <v>16.647376603639792</v>
      </c>
      <c r="Q168" s="11">
        <f t="shared" si="181"/>
        <v>14.225624089851634</v>
      </c>
      <c r="S168" s="31">
        <f t="shared" si="150"/>
        <v>-1.3872894897872134</v>
      </c>
      <c r="T168" s="31">
        <f t="shared" si="151"/>
        <v>-1.2531947720970216</v>
      </c>
      <c r="W168" s="10" t="str">
        <f t="shared" ref="W168:AB168" si="182">W23</f>
        <v>53 Skilled construction and building trades</v>
      </c>
      <c r="X168" s="11">
        <f t="shared" si="182"/>
        <v>0.24411524455905587</v>
      </c>
      <c r="Y168" s="11">
        <f t="shared" si="182"/>
        <v>0.23169195889720962</v>
      </c>
      <c r="Z168" s="11">
        <f t="shared" si="182"/>
        <v>0.28546637828323057</v>
      </c>
      <c r="AA168" s="11">
        <f t="shared" si="182"/>
        <v>0.16579391068948263</v>
      </c>
      <c r="AB168" s="11">
        <f t="shared" si="182"/>
        <v>0.17595713769719329</v>
      </c>
      <c r="AD168" s="31">
        <f t="shared" si="153"/>
        <v>3.1791659196217514</v>
      </c>
      <c r="AE168" s="31">
        <f t="shared" si="154"/>
        <v>-3.1744153008046005</v>
      </c>
    </row>
    <row r="169" spans="1:31">
      <c r="A169" s="10" t="str">
        <f t="shared" si="142"/>
        <v>54 Textiles, printing and other skilled trades</v>
      </c>
      <c r="B169" s="11">
        <f t="shared" si="142"/>
        <v>9.6691034984265638</v>
      </c>
      <c r="C169" s="11">
        <f t="shared" si="146"/>
        <v>8.4461052767901954</v>
      </c>
      <c r="D169" s="11">
        <f t="shared" si="146"/>
        <v>8.3294023293213026</v>
      </c>
      <c r="E169" s="11">
        <f t="shared" si="146"/>
        <v>8.418630701072793</v>
      </c>
      <c r="F169" s="11">
        <f t="shared" si="146"/>
        <v>7.9851910077103829</v>
      </c>
      <c r="H169" s="31">
        <f t="shared" si="147"/>
        <v>-2.9388290827512153</v>
      </c>
      <c r="I169" s="31">
        <f t="shared" si="148"/>
        <v>-0.28095792058610014</v>
      </c>
      <c r="L169" s="10" t="str">
        <f t="shared" ref="L169:Q169" si="183">L24</f>
        <v>54 Textiles, printing and other skilled trades</v>
      </c>
      <c r="M169" s="11">
        <f t="shared" si="183"/>
        <v>6.3445971972315247</v>
      </c>
      <c r="N169" s="11">
        <f t="shared" si="183"/>
        <v>5.5082101775039565</v>
      </c>
      <c r="O169" s="11">
        <f t="shared" si="183"/>
        <v>4.9540421002834485</v>
      </c>
      <c r="P169" s="11">
        <f t="shared" si="183"/>
        <v>5.0652083473549379</v>
      </c>
      <c r="Q169" s="11">
        <f t="shared" si="183"/>
        <v>4.6900830934789584</v>
      </c>
      <c r="S169" s="31">
        <f t="shared" si="150"/>
        <v>-4.827576690966751</v>
      </c>
      <c r="T169" s="31">
        <f t="shared" si="151"/>
        <v>-0.36435813104567227</v>
      </c>
      <c r="W169" s="10" t="str">
        <f t="shared" ref="W169:AB169" si="184">W24</f>
        <v>54 Textiles, printing and other skilled trades</v>
      </c>
      <c r="X169" s="11">
        <f t="shared" si="184"/>
        <v>3.3245063011950369</v>
      </c>
      <c r="Y169" s="11">
        <f t="shared" si="184"/>
        <v>2.9378950992862309</v>
      </c>
      <c r="Z169" s="11">
        <f t="shared" si="184"/>
        <v>3.3753602290378462</v>
      </c>
      <c r="AA169" s="11">
        <f t="shared" si="184"/>
        <v>3.3534223537178627</v>
      </c>
      <c r="AB169" s="11">
        <f t="shared" si="184"/>
        <v>3.2951079142314197</v>
      </c>
      <c r="AD169" s="31">
        <f t="shared" si="153"/>
        <v>0.30407880288649825</v>
      </c>
      <c r="AE169" s="31">
        <f t="shared" si="154"/>
        <v>-0.16029229335854378</v>
      </c>
    </row>
    <row r="170" spans="1:31">
      <c r="A170" s="10" t="str">
        <f t="shared" si="142"/>
        <v>61 Caring personal service occupations</v>
      </c>
      <c r="B170" s="11">
        <f t="shared" si="142"/>
        <v>38.549226321705426</v>
      </c>
      <c r="C170" s="11">
        <f t="shared" si="146"/>
        <v>41.06186937421402</v>
      </c>
      <c r="D170" s="11">
        <f t="shared" si="146"/>
        <v>39.709013980070296</v>
      </c>
      <c r="E170" s="11">
        <f t="shared" si="146"/>
        <v>41.475231244635403</v>
      </c>
      <c r="F170" s="11">
        <f t="shared" si="146"/>
        <v>45.131434884626096</v>
      </c>
      <c r="H170" s="31">
        <f t="shared" si="147"/>
        <v>0.59460447567794006</v>
      </c>
      <c r="I170" s="31">
        <f t="shared" si="148"/>
        <v>0.85698993594331974</v>
      </c>
      <c r="L170" s="10" t="str">
        <f t="shared" ref="L170:Q170" si="185">L25</f>
        <v>61 Caring personal service occupations</v>
      </c>
      <c r="M170" s="11">
        <f t="shared" si="185"/>
        <v>4.2430476204005672</v>
      </c>
      <c r="N170" s="11">
        <f t="shared" si="185"/>
        <v>4.439973671626789</v>
      </c>
      <c r="O170" s="11">
        <f t="shared" si="185"/>
        <v>4.2454959953934797</v>
      </c>
      <c r="P170" s="11">
        <f t="shared" si="185"/>
        <v>5.0361653983959878</v>
      </c>
      <c r="Q170" s="11">
        <f t="shared" si="185"/>
        <v>5.7241065950610333</v>
      </c>
      <c r="S170" s="31">
        <f t="shared" si="150"/>
        <v>1.1537980673415049E-2</v>
      </c>
      <c r="T170" s="31">
        <f t="shared" si="151"/>
        <v>2.012161976642779</v>
      </c>
      <c r="W170" s="10" t="str">
        <f t="shared" ref="W170:AB170" si="186">W25</f>
        <v>61 Caring personal service occupations</v>
      </c>
      <c r="X170" s="11">
        <f t="shared" si="186"/>
        <v>34.306178701304844</v>
      </c>
      <c r="Y170" s="11">
        <f t="shared" si="186"/>
        <v>36.621895702587238</v>
      </c>
      <c r="Z170" s="11">
        <f t="shared" si="186"/>
        <v>35.463517984676812</v>
      </c>
      <c r="AA170" s="11">
        <f t="shared" si="186"/>
        <v>36.439065846239423</v>
      </c>
      <c r="AB170" s="11">
        <f t="shared" si="186"/>
        <v>39.407328289565072</v>
      </c>
      <c r="AD170" s="31">
        <f t="shared" si="153"/>
        <v>0.66578718739822573</v>
      </c>
      <c r="AE170" s="31">
        <f t="shared" si="154"/>
        <v>0.70545865514246575</v>
      </c>
    </row>
    <row r="171" spans="1:31">
      <c r="A171" s="10" t="str">
        <f t="shared" si="142"/>
        <v>62 Leisure, travel and related personal service occupations</v>
      </c>
      <c r="B171" s="11">
        <f t="shared" si="142"/>
        <v>11.482295485656088</v>
      </c>
      <c r="C171" s="11">
        <f t="shared" si="146"/>
        <v>10.028377892597495</v>
      </c>
      <c r="D171" s="11">
        <f t="shared" si="146"/>
        <v>9.1820078898329758</v>
      </c>
      <c r="E171" s="11">
        <f t="shared" si="146"/>
        <v>8.4814204479781505</v>
      </c>
      <c r="F171" s="11">
        <f t="shared" si="146"/>
        <v>8.4132106883947344</v>
      </c>
      <c r="H171" s="31">
        <f t="shared" si="147"/>
        <v>-4.3727231759594805</v>
      </c>
      <c r="I171" s="31">
        <f t="shared" si="148"/>
        <v>-0.58125569202476246</v>
      </c>
      <c r="L171" s="10" t="str">
        <f t="shared" ref="L171:Q171" si="187">L26</f>
        <v>62 Leisure, travel and related personal service occupations</v>
      </c>
      <c r="M171" s="11">
        <f t="shared" si="187"/>
        <v>3.058491608492754</v>
      </c>
      <c r="N171" s="11">
        <f t="shared" si="187"/>
        <v>2.8665436273098517</v>
      </c>
      <c r="O171" s="11">
        <f t="shared" si="187"/>
        <v>2.7586835265309717</v>
      </c>
      <c r="P171" s="11">
        <f t="shared" si="187"/>
        <v>2.6410664579568981</v>
      </c>
      <c r="Q171" s="11">
        <f t="shared" si="187"/>
        <v>2.7097380111785139</v>
      </c>
      <c r="S171" s="31">
        <f t="shared" si="150"/>
        <v>-2.0422237395061105</v>
      </c>
      <c r="T171" s="31">
        <f t="shared" si="151"/>
        <v>-0.11927299594571839</v>
      </c>
      <c r="W171" s="10" t="str">
        <f t="shared" ref="W171:AB171" si="188">W26</f>
        <v>62 Leisure, travel and related personal service occupations</v>
      </c>
      <c r="X171" s="11">
        <f t="shared" si="188"/>
        <v>8.4238038771633352</v>
      </c>
      <c r="Y171" s="11">
        <f t="shared" si="188"/>
        <v>7.161834265287653</v>
      </c>
      <c r="Z171" s="11">
        <f t="shared" si="188"/>
        <v>6.4233243633020036</v>
      </c>
      <c r="AA171" s="11">
        <f t="shared" si="188"/>
        <v>5.8403539900212591</v>
      </c>
      <c r="AB171" s="11">
        <f t="shared" si="188"/>
        <v>5.7034726772162196</v>
      </c>
      <c r="AD171" s="31">
        <f t="shared" si="153"/>
        <v>-5.278117356487277</v>
      </c>
      <c r="AE171" s="31">
        <f t="shared" si="154"/>
        <v>-0.78927253300933309</v>
      </c>
    </row>
    <row r="172" spans="1:31">
      <c r="A172" s="10" t="str">
        <f t="shared" si="142"/>
        <v>63 Community and civil enforcement occupations</v>
      </c>
      <c r="B172" s="11">
        <f t="shared" si="142"/>
        <v>0.44667082132503066</v>
      </c>
      <c r="C172" s="11">
        <f t="shared" si="146"/>
        <v>0.3674632446263803</v>
      </c>
      <c r="D172" s="11">
        <f t="shared" si="146"/>
        <v>0.44693455623107448</v>
      </c>
      <c r="E172" s="11">
        <f t="shared" si="146"/>
        <v>0.34088140481104534</v>
      </c>
      <c r="F172" s="11">
        <f t="shared" si="146"/>
        <v>0.37504575772625592</v>
      </c>
      <c r="H172" s="31">
        <f t="shared" si="147"/>
        <v>1.1806127781222031E-2</v>
      </c>
      <c r="I172" s="31">
        <f t="shared" si="148"/>
        <v>-1.1622869012287262</v>
      </c>
      <c r="L172" s="10" t="str">
        <f t="shared" ref="L172:Q172" si="189">L27</f>
        <v>63 Community and civil enforcement occupations</v>
      </c>
      <c r="M172" s="11">
        <f t="shared" si="189"/>
        <v>0.34745363873721236</v>
      </c>
      <c r="N172" s="11">
        <f t="shared" si="189"/>
        <v>0.24513125617545803</v>
      </c>
      <c r="O172" s="11">
        <f t="shared" si="189"/>
        <v>0.34512232129875436</v>
      </c>
      <c r="P172" s="11">
        <f t="shared" si="189"/>
        <v>0.20348112052364134</v>
      </c>
      <c r="Q172" s="11">
        <f t="shared" si="189"/>
        <v>0.23596527829199901</v>
      </c>
      <c r="S172" s="31">
        <f t="shared" si="150"/>
        <v>-0.13455606639026785</v>
      </c>
      <c r="T172" s="31">
        <f t="shared" si="151"/>
        <v>-2.502906240561642</v>
      </c>
      <c r="W172" s="10" t="str">
        <f t="shared" ref="W172:AB172" si="190">W27</f>
        <v>63 Community and civil enforcement occupations</v>
      </c>
      <c r="X172" s="11">
        <f t="shared" si="190"/>
        <v>9.9217182587818212E-2</v>
      </c>
      <c r="Y172" s="11">
        <f t="shared" si="190"/>
        <v>0.12233198845092198</v>
      </c>
      <c r="Z172" s="11">
        <f t="shared" si="190"/>
        <v>0.10181223493232026</v>
      </c>
      <c r="AA172" s="11">
        <f t="shared" si="190"/>
        <v>0.13740028428740431</v>
      </c>
      <c r="AB172" s="11">
        <f t="shared" si="190"/>
        <v>0.1390804794342573</v>
      </c>
      <c r="AD172" s="31">
        <f t="shared" si="153"/>
        <v>0.51771698697025137</v>
      </c>
      <c r="AE172" s="31">
        <f t="shared" si="154"/>
        <v>2.1012550461583013</v>
      </c>
    </row>
    <row r="173" spans="1:31">
      <c r="A173" s="10" t="str">
        <f t="shared" si="142"/>
        <v>71 Sales occupations</v>
      </c>
      <c r="B173" s="11">
        <f t="shared" si="142"/>
        <v>34.223800198352485</v>
      </c>
      <c r="C173" s="11">
        <f t="shared" si="146"/>
        <v>30.736255514037811</v>
      </c>
      <c r="D173" s="11">
        <f t="shared" si="146"/>
        <v>30.25093913476638</v>
      </c>
      <c r="E173" s="11">
        <f t="shared" si="146"/>
        <v>29.213833101714457</v>
      </c>
      <c r="F173" s="11">
        <f t="shared" si="146"/>
        <v>27.813348952284226</v>
      </c>
      <c r="H173" s="31">
        <f t="shared" si="147"/>
        <v>-2.4376784598331702</v>
      </c>
      <c r="I173" s="31">
        <f t="shared" si="148"/>
        <v>-0.55850881574924793</v>
      </c>
      <c r="L173" s="10" t="str">
        <f t="shared" ref="L173:Q173" si="191">L28</f>
        <v>71 Sales occupations</v>
      </c>
      <c r="M173" s="11">
        <f t="shared" si="191"/>
        <v>13.78021993769844</v>
      </c>
      <c r="N173" s="11">
        <f t="shared" si="191"/>
        <v>13.05661518523562</v>
      </c>
      <c r="O173" s="11">
        <f t="shared" si="191"/>
        <v>13.001901321449159</v>
      </c>
      <c r="P173" s="11">
        <f t="shared" si="191"/>
        <v>12.757946718464479</v>
      </c>
      <c r="Q173" s="11">
        <f t="shared" si="191"/>
        <v>12.429160935553112</v>
      </c>
      <c r="S173" s="31">
        <f t="shared" si="150"/>
        <v>-1.1560384035684268</v>
      </c>
      <c r="T173" s="31">
        <f t="shared" si="151"/>
        <v>-0.29988412784954788</v>
      </c>
      <c r="W173" s="10" t="str">
        <f t="shared" ref="W173:AB173" si="192">W28</f>
        <v>71 Sales occupations</v>
      </c>
      <c r="X173" s="11">
        <f t="shared" si="192"/>
        <v>20.443580260654084</v>
      </c>
      <c r="Y173" s="11">
        <f t="shared" si="192"/>
        <v>17.679640328802176</v>
      </c>
      <c r="Z173" s="11">
        <f t="shared" si="192"/>
        <v>17.249037813317205</v>
      </c>
      <c r="AA173" s="11">
        <f t="shared" si="192"/>
        <v>16.455886383249926</v>
      </c>
      <c r="AB173" s="11">
        <f t="shared" si="192"/>
        <v>15.384188016731123</v>
      </c>
      <c r="AD173" s="31">
        <f t="shared" si="153"/>
        <v>-3.3411589209488501</v>
      </c>
      <c r="AE173" s="31">
        <f t="shared" si="154"/>
        <v>-0.75987248133441154</v>
      </c>
    </row>
    <row r="174" spans="1:31">
      <c r="A174" s="10" t="str">
        <f t="shared" si="142"/>
        <v>72 Customer service occupations</v>
      </c>
      <c r="B174" s="11">
        <f t="shared" si="142"/>
        <v>9.0886906437377402</v>
      </c>
      <c r="C174" s="11">
        <f t="shared" si="146"/>
        <v>8.8480017178491579</v>
      </c>
      <c r="D174" s="11">
        <f t="shared" si="146"/>
        <v>9.088846806026746</v>
      </c>
      <c r="E174" s="11">
        <f t="shared" si="146"/>
        <v>10.158634946145103</v>
      </c>
      <c r="F174" s="11">
        <f t="shared" si="146"/>
        <v>11.267733851765355</v>
      </c>
      <c r="H174" s="31">
        <f t="shared" si="147"/>
        <v>3.4363853247398879E-4</v>
      </c>
      <c r="I174" s="31">
        <f t="shared" si="148"/>
        <v>1.4429460177838527</v>
      </c>
      <c r="L174" s="10" t="str">
        <f t="shared" ref="L174:Q174" si="193">L29</f>
        <v>72 Customer service occupations</v>
      </c>
      <c r="M174" s="11">
        <f t="shared" si="193"/>
        <v>3.9189141356413506</v>
      </c>
      <c r="N174" s="11">
        <f t="shared" si="193"/>
        <v>3.2108730880265202</v>
      </c>
      <c r="O174" s="11">
        <f t="shared" si="193"/>
        <v>3.7194792469850886</v>
      </c>
      <c r="P174" s="11">
        <f t="shared" si="193"/>
        <v>4.6876704592253526</v>
      </c>
      <c r="Q174" s="11">
        <f t="shared" si="193"/>
        <v>5.3492840253357752</v>
      </c>
      <c r="S174" s="31">
        <f t="shared" si="150"/>
        <v>-1.0391815693015061</v>
      </c>
      <c r="T174" s="31">
        <f t="shared" si="151"/>
        <v>2.4521086021363159</v>
      </c>
      <c r="W174" s="10" t="str">
        <f t="shared" ref="W174:AB174" si="194">W29</f>
        <v>72 Customer service occupations</v>
      </c>
      <c r="X174" s="11">
        <f t="shared" si="194"/>
        <v>5.1697765080963762</v>
      </c>
      <c r="Y174" s="11">
        <f t="shared" si="194"/>
        <v>5.6371286298226373</v>
      </c>
      <c r="Z174" s="11">
        <f t="shared" si="194"/>
        <v>5.3693675590416552</v>
      </c>
      <c r="AA174" s="11">
        <f t="shared" si="194"/>
        <v>5.4709644869197254</v>
      </c>
      <c r="AB174" s="11">
        <f t="shared" si="194"/>
        <v>5.9184498264295753</v>
      </c>
      <c r="AD174" s="31">
        <f t="shared" si="153"/>
        <v>0.76049054390092685</v>
      </c>
      <c r="AE174" s="31">
        <f>IF(AB$151-Z$151 &lt;&gt; 0,(EXP(LN(AB174/Z174)/(AB$151-Z$151))-1)*100,0)</f>
        <v>0.65120741069693011</v>
      </c>
    </row>
    <row r="175" spans="1:31">
      <c r="A175" s="10" t="str">
        <f t="shared" si="142"/>
        <v>81 Process, plant and machine operatives</v>
      </c>
      <c r="B175" s="11">
        <f t="shared" si="142"/>
        <v>23.01767694669358</v>
      </c>
      <c r="C175" s="11">
        <f t="shared" si="146"/>
        <v>21.737054143198129</v>
      </c>
      <c r="D175" s="11">
        <f t="shared" si="146"/>
        <v>18.382917992462492</v>
      </c>
      <c r="E175" s="11">
        <f t="shared" si="146"/>
        <v>18.988071519329377</v>
      </c>
      <c r="F175" s="11">
        <f t="shared" si="146"/>
        <v>17.514325366127888</v>
      </c>
      <c r="H175" s="31">
        <f t="shared" si="147"/>
        <v>-4.3972044343313694</v>
      </c>
      <c r="I175" s="31">
        <f t="shared" si="148"/>
        <v>-0.32216476551590878</v>
      </c>
      <c r="L175" s="10" t="str">
        <f t="shared" ref="L175:Q175" si="195">L30</f>
        <v>81 Process, plant and machine operatives</v>
      </c>
      <c r="M175" s="11">
        <f t="shared" si="195"/>
        <v>18.516053173598369</v>
      </c>
      <c r="N175" s="11">
        <f t="shared" si="195"/>
        <v>17.022290606392598</v>
      </c>
      <c r="O175" s="11">
        <f t="shared" si="195"/>
        <v>14.308197019339588</v>
      </c>
      <c r="P175" s="11">
        <f t="shared" si="195"/>
        <v>14.276562087567656</v>
      </c>
      <c r="Q175" s="11">
        <f t="shared" si="195"/>
        <v>12.805010245650058</v>
      </c>
      <c r="S175" s="31">
        <f t="shared" si="150"/>
        <v>-5.0254381981206686</v>
      </c>
      <c r="T175" s="31">
        <f t="shared" si="151"/>
        <v>-0.73724274364790343</v>
      </c>
      <c r="W175" s="10" t="str">
        <f t="shared" ref="W175:AB175" si="196">W30</f>
        <v>81 Process, plant and machine operatives</v>
      </c>
      <c r="X175" s="11">
        <f t="shared" si="196"/>
        <v>4.5016237730952078</v>
      </c>
      <c r="Y175" s="11">
        <f t="shared" si="196"/>
        <v>4.7147635368055472</v>
      </c>
      <c r="Z175" s="11">
        <f t="shared" si="196"/>
        <v>4.0747209731229184</v>
      </c>
      <c r="AA175" s="11">
        <f t="shared" si="196"/>
        <v>4.7115094317617281</v>
      </c>
      <c r="AB175" s="11">
        <f t="shared" si="196"/>
        <v>4.7093151204778412</v>
      </c>
      <c r="AD175" s="31">
        <f t="shared" si="153"/>
        <v>-1.972994576423337</v>
      </c>
      <c r="AE175" s="31">
        <f t="shared" si="154"/>
        <v>0.96960528126170953</v>
      </c>
    </row>
    <row r="176" spans="1:31">
      <c r="A176" s="10" t="str">
        <f t="shared" si="142"/>
        <v>82 Transport and mobile machine drivers and operatives</v>
      </c>
      <c r="B176" s="11">
        <f t="shared" si="142"/>
        <v>24.123007113083549</v>
      </c>
      <c r="C176" s="11">
        <f t="shared" si="146"/>
        <v>24.835414702497779</v>
      </c>
      <c r="D176" s="11">
        <f t="shared" si="146"/>
        <v>21.975456313535553</v>
      </c>
      <c r="E176" s="11">
        <f t="shared" si="146"/>
        <v>22.740234056496391</v>
      </c>
      <c r="F176" s="11">
        <f t="shared" si="146"/>
        <v>22.68541236648149</v>
      </c>
      <c r="H176" s="31">
        <f t="shared" si="147"/>
        <v>-1.8475168186694924</v>
      </c>
      <c r="I176" s="31">
        <f t="shared" si="148"/>
        <v>0.2121973700340174</v>
      </c>
      <c r="L176" s="10" t="str">
        <f t="shared" ref="L176:Q176" si="197">L31</f>
        <v>82 Transport and mobile machine drivers and operatives</v>
      </c>
      <c r="M176" s="11">
        <f t="shared" si="197"/>
        <v>23.025017983339353</v>
      </c>
      <c r="N176" s="11">
        <f t="shared" si="197"/>
        <v>23.675571046795298</v>
      </c>
      <c r="O176" s="11">
        <f t="shared" si="197"/>
        <v>21.000512062003565</v>
      </c>
      <c r="P176" s="11">
        <f t="shared" si="197"/>
        <v>21.436484758990787</v>
      </c>
      <c r="Q176" s="11">
        <f t="shared" si="197"/>
        <v>21.219555916449671</v>
      </c>
      <c r="S176" s="31">
        <f t="shared" si="150"/>
        <v>-1.823853588619806</v>
      </c>
      <c r="T176" s="31">
        <f t="shared" si="151"/>
        <v>6.919982564945748E-2</v>
      </c>
      <c r="W176" s="10" t="str">
        <f t="shared" ref="W176:AB176" si="198">W31</f>
        <v>82 Transport and mobile machine drivers and operatives</v>
      </c>
      <c r="X176" s="11">
        <f t="shared" si="198"/>
        <v>1.097989129744207</v>
      </c>
      <c r="Y176" s="11">
        <f t="shared" si="198"/>
        <v>1.1598436557025105</v>
      </c>
      <c r="Z176" s="11">
        <f t="shared" si="198"/>
        <v>0.9749442515319815</v>
      </c>
      <c r="AA176" s="11">
        <f t="shared" si="198"/>
        <v>1.3037492975056073</v>
      </c>
      <c r="AB176" s="11">
        <f t="shared" si="198"/>
        <v>1.4658564500317817</v>
      </c>
      <c r="AD176" s="31">
        <f t="shared" si="153"/>
        <v>-2.3490779295733732</v>
      </c>
      <c r="AE176" s="31">
        <f t="shared" si="154"/>
        <v>2.7560600715746286</v>
      </c>
    </row>
    <row r="177" spans="1:31">
      <c r="A177" s="10" t="str">
        <f t="shared" si="142"/>
        <v>91 Elementary trades and related occupations</v>
      </c>
      <c r="B177" s="11">
        <f t="shared" si="142"/>
        <v>11.487443580203085</v>
      </c>
      <c r="C177" s="11">
        <f t="shared" si="146"/>
        <v>9.8320405541299714</v>
      </c>
      <c r="D177" s="11">
        <f t="shared" si="146"/>
        <v>8.59789452449556</v>
      </c>
      <c r="E177" s="11">
        <f t="shared" si="146"/>
        <v>15.010512028853473</v>
      </c>
      <c r="F177" s="11">
        <f t="shared" si="146"/>
        <v>16.496787208058887</v>
      </c>
      <c r="H177" s="31">
        <f t="shared" si="147"/>
        <v>-5.6300457870917864</v>
      </c>
      <c r="I177" s="31">
        <f t="shared" si="148"/>
        <v>4.4400691329606889</v>
      </c>
      <c r="L177" s="10" t="str">
        <f t="shared" ref="L177:Q178" si="199">L32</f>
        <v>91 Elementary trades and related occupations</v>
      </c>
      <c r="M177" s="11">
        <f t="shared" si="199"/>
        <v>8.6440665036647317</v>
      </c>
      <c r="N177" s="11">
        <f t="shared" si="199"/>
        <v>7.4127368380211713</v>
      </c>
      <c r="O177" s="11">
        <f t="shared" si="199"/>
        <v>6.6698630780719155</v>
      </c>
      <c r="P177" s="11">
        <f t="shared" si="199"/>
        <v>8.9898182619039115</v>
      </c>
      <c r="Q177" s="11">
        <f t="shared" si="199"/>
        <v>9.4686811693405577</v>
      </c>
      <c r="S177" s="31">
        <f t="shared" si="150"/>
        <v>-5.0533242722607952</v>
      </c>
      <c r="T177" s="31">
        <f t="shared" si="151"/>
        <v>2.3634319985897712</v>
      </c>
      <c r="W177" s="10" t="str">
        <f t="shared" ref="W177:AB178" si="200">W32</f>
        <v>91 Elementary trades and related occupations</v>
      </c>
      <c r="X177" s="11">
        <f t="shared" si="200"/>
        <v>2.8433770765383448</v>
      </c>
      <c r="Y177" s="11">
        <f t="shared" si="200"/>
        <v>2.4193037161087925</v>
      </c>
      <c r="Z177" s="11">
        <f t="shared" si="200"/>
        <v>1.9280314464236585</v>
      </c>
      <c r="AA177" s="11">
        <f t="shared" si="200"/>
        <v>6.0206937669495684</v>
      </c>
      <c r="AB177" s="11">
        <f t="shared" si="200"/>
        <v>7.0281060387183256</v>
      </c>
      <c r="AD177" s="31">
        <f t="shared" si="153"/>
        <v>-7.475673804878169</v>
      </c>
      <c r="AE177" s="31">
        <f t="shared" si="154"/>
        <v>9.0054669099422835</v>
      </c>
    </row>
    <row r="178" spans="1:31">
      <c r="A178" s="10" t="str">
        <f t="shared" si="142"/>
        <v>92 Elementary administration and service occupations</v>
      </c>
      <c r="B178" s="11">
        <f t="shared" si="142"/>
        <v>45.472494733851811</v>
      </c>
      <c r="C178" s="11">
        <f t="shared" si="146"/>
        <v>41.766910652938115</v>
      </c>
      <c r="D178" s="11">
        <f t="shared" si="146"/>
        <v>37.688938677596269</v>
      </c>
      <c r="E178" s="11">
        <f t="shared" si="146"/>
        <v>33.224143449787029</v>
      </c>
      <c r="F178" s="11">
        <f t="shared" si="146"/>
        <v>29.481164863279925</v>
      </c>
      <c r="H178" s="31">
        <f>IF(D$151-B$151 &lt;&gt; 0,(EXP(LN(D178/B178)/(D$151-B$151))-1)*100,0)</f>
        <v>-3.6852004087132739</v>
      </c>
      <c r="I178" s="31">
        <f t="shared" ref="I178" si="201">IF(F$151-D$151 &lt;&gt; 0,(EXP(LN(F178/D178)/(F$151-D$151))-1)*100,0)</f>
        <v>-1.6241007083510617</v>
      </c>
      <c r="L178" s="10" t="str">
        <f t="shared" si="199"/>
        <v>92 Elementary administration and service occupations</v>
      </c>
      <c r="M178" s="11">
        <f t="shared" si="199"/>
        <v>23.573386766069238</v>
      </c>
      <c r="N178" s="11">
        <f t="shared" si="199"/>
        <v>19.916820189908439</v>
      </c>
      <c r="O178" s="11">
        <f t="shared" si="199"/>
        <v>18.746991875777951</v>
      </c>
      <c r="P178" s="11">
        <f t="shared" si="199"/>
        <v>18.26525627312952</v>
      </c>
      <c r="Q178" s="11">
        <f t="shared" si="199"/>
        <v>16.657311828955478</v>
      </c>
      <c r="S178" s="31">
        <f t="shared" ref="S178" si="202">IF(O$151-M$151 &lt;&gt; 0,(EXP(LN(O178/M178)/(O$151-M$151))-1)*100,0)</f>
        <v>-4.4783266343868311</v>
      </c>
      <c r="T178" s="31">
        <f t="shared" ref="T178" si="203">IF(Q$151-O$151 &lt;&gt; 0,(EXP(LN(Q178/O178)/(Q$151-O$151))-1)*100,0)</f>
        <v>-0.78479783650308166</v>
      </c>
      <c r="W178" s="10" t="str">
        <f t="shared" si="200"/>
        <v>92 Elementary administration and service occupations</v>
      </c>
      <c r="X178" s="11">
        <f t="shared" si="200"/>
        <v>21.899107967782559</v>
      </c>
      <c r="Y178" s="11">
        <f t="shared" si="200"/>
        <v>21.850090463029687</v>
      </c>
      <c r="Z178" s="11">
        <f t="shared" si="200"/>
        <v>18.941946801818354</v>
      </c>
      <c r="AA178" s="11">
        <f t="shared" si="200"/>
        <v>14.958887176657543</v>
      </c>
      <c r="AB178" s="11">
        <f t="shared" si="200"/>
        <v>12.823853034324475</v>
      </c>
      <c r="AD178" s="31">
        <f t="shared" ref="AD178" si="204">IF(Z$151-X$151 &lt;&gt; 0,(EXP(LN(Z178/X178)/(Z$151-X$151))-1)*100,0)</f>
        <v>-2.8596558955751417</v>
      </c>
      <c r="AE178" s="31">
        <f t="shared" ref="AE178" si="205">IF(AB$151-Z$151 &lt;&gt; 0,(EXP(LN(AB178/Z178)/(AB$151-Z$151))-1)*100,0)</f>
        <v>-2.5669581685850984</v>
      </c>
    </row>
    <row r="179" spans="1:31">
      <c r="A179" s="10"/>
      <c r="B179" s="11"/>
      <c r="C179" s="11"/>
      <c r="D179" s="11"/>
      <c r="E179" s="11"/>
      <c r="F179" s="11"/>
      <c r="H179" s="31"/>
      <c r="I179" s="31"/>
      <c r="L179" s="10"/>
      <c r="M179" s="11"/>
      <c r="N179" s="11"/>
      <c r="O179" s="11"/>
      <c r="P179" s="11"/>
      <c r="Q179" s="11"/>
      <c r="S179" s="31"/>
      <c r="T179" s="31"/>
      <c r="W179" s="10"/>
      <c r="X179" s="11"/>
      <c r="Y179" s="11"/>
      <c r="Z179" s="11"/>
      <c r="AA179" s="11"/>
      <c r="AB179" s="11"/>
      <c r="AD179" s="31"/>
      <c r="AE179" s="31"/>
    </row>
    <row r="180" spans="1:31">
      <c r="A180" s="208" t="str">
        <f t="shared" ref="A180:F180" si="206">A35</f>
        <v>All occupations</v>
      </c>
      <c r="B180" s="27">
        <f t="shared" si="206"/>
        <v>505.56200000000013</v>
      </c>
      <c r="C180" s="27">
        <f t="shared" si="206"/>
        <v>509.9309999999997</v>
      </c>
      <c r="D180" s="27">
        <f t="shared" si="206"/>
        <v>496.19399999999962</v>
      </c>
      <c r="E180" s="27">
        <f t="shared" si="206"/>
        <v>508.12800000000021</v>
      </c>
      <c r="F180" s="27">
        <f t="shared" si="206"/>
        <v>521.94399999999973</v>
      </c>
      <c r="H180" s="34">
        <f>IF(D$151-B$151 &lt;&gt; 0,(EXP(LN(D180/B180)/(D$151-B$151))-1)*100,0)</f>
        <v>-0.37337526450478276</v>
      </c>
      <c r="I180" s="34">
        <f t="shared" si="148"/>
        <v>0.33785827979151417</v>
      </c>
      <c r="L180" s="208" t="str">
        <f t="shared" ref="L180:Q180" si="207">L35</f>
        <v>All occupations</v>
      </c>
      <c r="M180" s="27">
        <f t="shared" si="207"/>
        <v>278.47300247517569</v>
      </c>
      <c r="N180" s="27">
        <f t="shared" si="207"/>
        <v>275.90173239601114</v>
      </c>
      <c r="O180" s="27">
        <f t="shared" si="207"/>
        <v>265.0994044041413</v>
      </c>
      <c r="P180" s="27">
        <f t="shared" si="207"/>
        <v>269.87496646904503</v>
      </c>
      <c r="Q180" s="27">
        <f t="shared" si="207"/>
        <v>273.44446800613349</v>
      </c>
      <c r="S180" s="34">
        <f t="shared" ref="S180" si="208">IF(O$151-M$151 &lt;&gt; 0,(EXP(LN(O180/M180)/(O$151-M$151))-1)*100,0)</f>
        <v>-0.979496358002796</v>
      </c>
      <c r="T180" s="34">
        <f t="shared" ref="T180" si="209">IF(Q$151-O$151 &lt;&gt; 0,(EXP(LN(Q180/O180)/(Q$151-O$151))-1)*100,0)</f>
        <v>0.20683823318077277</v>
      </c>
      <c r="W180" s="208" t="str">
        <f t="shared" ref="W180:AB180" si="210">W35</f>
        <v>All occupations</v>
      </c>
      <c r="X180" s="27">
        <f t="shared" si="210"/>
        <v>227.08899752482438</v>
      </c>
      <c r="Y180" s="27">
        <f t="shared" si="210"/>
        <v>234.02926760398873</v>
      </c>
      <c r="Z180" s="27">
        <f t="shared" si="210"/>
        <v>231.09459559585864</v>
      </c>
      <c r="AA180" s="27">
        <f t="shared" si="210"/>
        <v>238.25303353095489</v>
      </c>
      <c r="AB180" s="27">
        <f t="shared" si="210"/>
        <v>248.49953199386613</v>
      </c>
      <c r="AD180" s="34">
        <f t="shared" ref="AD180" si="211">IF(Z$151-X$151 &lt;&gt; 0,(EXP(LN(Z180/X180)/(Z$151-X$151))-1)*100,0)</f>
        <v>0.3503147973089149</v>
      </c>
      <c r="AE180" s="34">
        <f t="shared" ref="AE180" si="212">IF(AB$151-Z$151 &lt;&gt; 0,(EXP(LN(AB180/Z180)/(AB$151-Z$151))-1)*100,0)</f>
        <v>0.4852658244766328</v>
      </c>
    </row>
    <row r="181" spans="1:31">
      <c r="A181" s="10"/>
    </row>
    <row r="182" spans="1:31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>
      <c r="A1" s="18" t="str">
        <f>CONCATENATE("Occupation Table 3  Employment Change by Occupation in Occupation Group (SOC 2020), ",B$5,"-",F$5,", ",Info!B5)</f>
        <v>Occupation Table 3  Employment Change by Occupation in Occupation Group (SOC 2020), 2015-2035, Black Country</v>
      </c>
    </row>
    <row r="2" spans="1:12" ht="12.75" customHeight="1">
      <c r="A2" s="159" t="s">
        <v>163</v>
      </c>
    </row>
    <row r="3" spans="1:12" ht="12.75" customHeight="1">
      <c r="A3" s="18"/>
      <c r="L3" s="64" t="s">
        <v>127</v>
      </c>
    </row>
    <row r="4" spans="1:12">
      <c r="A4" s="29"/>
      <c r="B4" s="24" t="s">
        <v>128</v>
      </c>
      <c r="C4" s="29"/>
      <c r="D4" s="29"/>
      <c r="E4" s="29"/>
      <c r="F4" s="29"/>
      <c r="G4" s="29"/>
      <c r="H4" s="24" t="s">
        <v>118</v>
      </c>
      <c r="I4" s="29"/>
      <c r="J4" s="29"/>
      <c r="K4" s="29"/>
      <c r="L4" s="29"/>
    </row>
    <row r="5" spans="1:12">
      <c r="A5" s="22"/>
      <c r="B5" s="28">
        <f>'Occ T1'!B6</f>
        <v>2015</v>
      </c>
      <c r="C5" s="28">
        <f>'Occ T1'!C6</f>
        <v>2019</v>
      </c>
      <c r="D5" s="28">
        <f>'Occ T1'!D6</f>
        <v>2020</v>
      </c>
      <c r="E5" s="28">
        <f>'Occ T1'!E6</f>
        <v>2025</v>
      </c>
      <c r="F5" s="28">
        <f>'Occ T1'!F6</f>
        <v>2035</v>
      </c>
      <c r="H5" s="30" t="str">
        <f>CONCATENATE(B$5,"-",C$5)</f>
        <v>2015-2019</v>
      </c>
      <c r="I5" s="30" t="str">
        <f>CONCATENATE(C$5,"-",D$5)</f>
        <v>2019-2020</v>
      </c>
      <c r="J5" s="30" t="str">
        <f>CONCATENATE(D$5,"-",E$5)</f>
        <v>2020-2025</v>
      </c>
      <c r="K5" s="30" t="str">
        <f>CONCATENATE(E$5,"-",F$5)</f>
        <v>2025-2035</v>
      </c>
      <c r="L5" s="30" t="str">
        <f>CONCATENATE(D$5,"-",F$5)</f>
        <v>2020-2035</v>
      </c>
    </row>
    <row r="7" spans="1:12" s="25" customFormat="1">
      <c r="A7" s="25" t="str">
        <f>'Occ T1'!A8</f>
        <v>Managers, directors and senior officials</v>
      </c>
      <c r="B7" s="26">
        <f>'Occ T1'!B8</f>
        <v>42.392720616000332</v>
      </c>
      <c r="C7" s="26">
        <f>'Occ T1'!C8</f>
        <v>46.345148009577287</v>
      </c>
      <c r="D7" s="26">
        <f>'Occ T1'!D8</f>
        <v>47.800367492375784</v>
      </c>
      <c r="E7" s="26">
        <f>'Occ T1'!E8</f>
        <v>44.836824250943323</v>
      </c>
      <c r="F7" s="26">
        <f>'Occ T1'!F8</f>
        <v>49.226179286534204</v>
      </c>
      <c r="H7" s="26">
        <f>C7-B7</f>
        <v>3.9524273935769543</v>
      </c>
      <c r="I7" s="26">
        <f>D7-C7</f>
        <v>1.4552194827984977</v>
      </c>
      <c r="J7" s="26">
        <f>E7-D7</f>
        <v>-2.9635432414324612</v>
      </c>
      <c r="K7" s="26">
        <f>F7-E7</f>
        <v>4.3893550355908815</v>
      </c>
      <c r="L7" s="26">
        <f>F7-D7</f>
        <v>1.4258117941584203</v>
      </c>
    </row>
    <row r="8" spans="1:12" s="25" customFormat="1">
      <c r="A8" s="10" t="str">
        <f>'Occ T2'!A8</f>
        <v>11 Corporate managers and directors</v>
      </c>
      <c r="B8" s="363">
        <f>'Occ T2'!B8</f>
        <v>29.880785800881405</v>
      </c>
      <c r="C8" s="363">
        <f>'Occ T2'!C8</f>
        <v>33.670781149647794</v>
      </c>
      <c r="D8" s="363">
        <f>'Occ T2'!D8</f>
        <v>34.557349518918279</v>
      </c>
      <c r="E8" s="363">
        <f>'Occ T2'!E8</f>
        <v>31.172230771306513</v>
      </c>
      <c r="F8" s="363">
        <f>'Occ T2'!F8</f>
        <v>33.924972676339749</v>
      </c>
      <c r="H8" s="26">
        <f t="shared" ref="H8:H9" si="0">C8-B8</f>
        <v>3.7899953487663893</v>
      </c>
      <c r="I8" s="26">
        <f t="shared" ref="I8:I9" si="1">D8-C8</f>
        <v>0.88656836927048488</v>
      </c>
      <c r="J8" s="26">
        <f t="shared" ref="J8:J9" si="2">E8-D8</f>
        <v>-3.3851187476117666</v>
      </c>
      <c r="K8" s="26">
        <f t="shared" ref="K8:K9" si="3">F8-E8</f>
        <v>2.7527419050332362</v>
      </c>
      <c r="L8" s="26">
        <f t="shared" ref="L8:L49" si="4">F8-D8</f>
        <v>-0.63237684257853033</v>
      </c>
    </row>
    <row r="9" spans="1:12" s="25" customFormat="1">
      <c r="A9" s="10" t="str">
        <f>'Occ T2'!A9</f>
        <v>12 Other managers and proprietors</v>
      </c>
      <c r="B9" s="363">
        <f>'Occ T2'!B9</f>
        <v>12.511934815118931</v>
      </c>
      <c r="C9" s="363">
        <f>'Occ T2'!C9</f>
        <v>12.674366859929489</v>
      </c>
      <c r="D9" s="363">
        <f>'Occ T2'!D9</f>
        <v>13.243017973457505</v>
      </c>
      <c r="E9" s="363">
        <f>'Occ T2'!E9</f>
        <v>13.664593479636807</v>
      </c>
      <c r="F9" s="363">
        <f>'Occ T2'!F9</f>
        <v>15.301206610194454</v>
      </c>
      <c r="H9" s="26">
        <f t="shared" si="0"/>
        <v>0.16243204481055784</v>
      </c>
      <c r="I9" s="26">
        <f t="shared" si="1"/>
        <v>0.56865111352801634</v>
      </c>
      <c r="J9" s="26">
        <f t="shared" si="2"/>
        <v>0.42157550617930184</v>
      </c>
      <c r="K9" s="26">
        <f t="shared" si="3"/>
        <v>1.636613130557647</v>
      </c>
      <c r="L9" s="26">
        <f t="shared" si="4"/>
        <v>2.0581886367369489</v>
      </c>
    </row>
    <row r="10" spans="1:12">
      <c r="B10" s="363"/>
      <c r="C10" s="363"/>
      <c r="D10" s="363"/>
      <c r="E10" s="363"/>
      <c r="F10" s="363"/>
      <c r="H10" s="11"/>
      <c r="I10" s="26"/>
      <c r="J10" s="11"/>
      <c r="K10" s="11"/>
      <c r="L10" s="26"/>
    </row>
    <row r="11" spans="1:12" s="25" customFormat="1">
      <c r="A11" s="25" t="str">
        <f>'Occ T1'!A9</f>
        <v>Professional occupations</v>
      </c>
      <c r="B11" s="26">
        <f>'Occ T1'!B9</f>
        <v>87.713907644760383</v>
      </c>
      <c r="C11" s="26">
        <f>'Occ T1'!C9</f>
        <v>99.060176549524812</v>
      </c>
      <c r="D11" s="26">
        <f>'Occ T1'!D9</f>
        <v>103.54383323968845</v>
      </c>
      <c r="E11" s="26">
        <f>'Occ T1'!E9</f>
        <v>109.96238805392818</v>
      </c>
      <c r="F11" s="26">
        <f>'Occ T1'!F9</f>
        <v>121.73921749855063</v>
      </c>
      <c r="H11" s="26">
        <f>C11-B11</f>
        <v>11.346268904764429</v>
      </c>
      <c r="I11" s="26">
        <f t="shared" ref="I11:I49" si="5">D11-C11</f>
        <v>4.4836566901636417</v>
      </c>
      <c r="J11" s="26">
        <f>E11-D11</f>
        <v>6.4185548142397266</v>
      </c>
      <c r="K11" s="26">
        <f>F11-E11</f>
        <v>11.77682944462245</v>
      </c>
      <c r="L11" s="26">
        <f t="shared" si="4"/>
        <v>18.195384258862177</v>
      </c>
    </row>
    <row r="12" spans="1:12">
      <c r="A12" s="10" t="str">
        <f>'Occ T2'!A10</f>
        <v>21 Science, research, engineering and technology professionals</v>
      </c>
      <c r="B12" s="10">
        <f>'Occ T2'!B10</f>
        <v>23.692567314037611</v>
      </c>
      <c r="C12" s="10">
        <f>'Occ T2'!C10</f>
        <v>25.522442469208745</v>
      </c>
      <c r="D12" s="10">
        <f>'Occ T2'!D10</f>
        <v>26.67415223973487</v>
      </c>
      <c r="E12" s="10">
        <f>'Occ T2'!E10</f>
        <v>32.331352616593463</v>
      </c>
      <c r="F12" s="10">
        <f>'Occ T2'!F10</f>
        <v>36.460147888250177</v>
      </c>
      <c r="H12" s="11">
        <f t="shared" ref="H12:K14" si="6">C12-B12</f>
        <v>1.8298751551711341</v>
      </c>
      <c r="I12" s="26">
        <f t="shared" si="5"/>
        <v>1.151709770526125</v>
      </c>
      <c r="J12" s="11">
        <f t="shared" si="6"/>
        <v>5.6572003768585937</v>
      </c>
      <c r="K12" s="11">
        <f t="shared" si="6"/>
        <v>4.1287952716567133</v>
      </c>
      <c r="L12" s="26">
        <f t="shared" si="4"/>
        <v>9.785995648515307</v>
      </c>
    </row>
    <row r="13" spans="1:12">
      <c r="A13" s="10" t="str">
        <f>'Occ T2'!A11</f>
        <v>22 Health professionals</v>
      </c>
      <c r="B13" s="10">
        <f>'Occ T2'!B11</f>
        <v>21.674771905892207</v>
      </c>
      <c r="C13" s="10">
        <f>'Occ T2'!C11</f>
        <v>27.315802663195459</v>
      </c>
      <c r="D13" s="10">
        <f>'Occ T2'!D11</f>
        <v>26.885303796114776</v>
      </c>
      <c r="E13" s="10">
        <f>'Occ T2'!E11</f>
        <v>26.54413441665373</v>
      </c>
      <c r="F13" s="10">
        <f>'Occ T2'!F11</f>
        <v>28.579623063913772</v>
      </c>
      <c r="H13" s="11">
        <f t="shared" si="6"/>
        <v>5.6410307573032519</v>
      </c>
      <c r="I13" s="26">
        <f t="shared" si="5"/>
        <v>-0.43049886708068286</v>
      </c>
      <c r="J13" s="11">
        <f t="shared" si="6"/>
        <v>-0.34116937946104642</v>
      </c>
      <c r="K13" s="11">
        <f t="shared" si="6"/>
        <v>2.035488647260042</v>
      </c>
      <c r="L13" s="26">
        <f t="shared" si="4"/>
        <v>1.6943192677989956</v>
      </c>
    </row>
    <row r="14" spans="1:12">
      <c r="A14" s="10" t="str">
        <f>'Occ T2'!A12</f>
        <v>23 Teaching and other educational professionals</v>
      </c>
      <c r="B14" s="10">
        <f>'Occ T2'!B12</f>
        <v>19.540374765671235</v>
      </c>
      <c r="C14" s="10">
        <f>'Occ T2'!C12</f>
        <v>20.765597855160532</v>
      </c>
      <c r="D14" s="10">
        <f>'Occ T2'!D12</f>
        <v>22.026617843508607</v>
      </c>
      <c r="E14" s="10">
        <f>'Occ T2'!E12</f>
        <v>21.969692618216403</v>
      </c>
      <c r="F14" s="10">
        <f>'Occ T2'!F12</f>
        <v>24.165356288680911</v>
      </c>
      <c r="H14" s="11">
        <f t="shared" si="6"/>
        <v>1.2252230894892975</v>
      </c>
      <c r="I14" s="26">
        <f t="shared" si="5"/>
        <v>1.2610199883480746</v>
      </c>
      <c r="J14" s="11">
        <f t="shared" si="6"/>
        <v>-5.6925225292204118E-2</v>
      </c>
      <c r="K14" s="11">
        <f t="shared" si="6"/>
        <v>2.1956636704645085</v>
      </c>
      <c r="L14" s="26">
        <f t="shared" si="4"/>
        <v>2.1387384451723044</v>
      </c>
    </row>
    <row r="15" spans="1:12">
      <c r="A15" s="10" t="str">
        <f>'Occ T2'!A13</f>
        <v>24 Business, media and public service professionals</v>
      </c>
      <c r="B15" s="10">
        <f>'Occ T2'!B13</f>
        <v>22.806193659159341</v>
      </c>
      <c r="C15" s="10">
        <f>'Occ T2'!C13</f>
        <v>25.456333561960076</v>
      </c>
      <c r="D15" s="10">
        <f>'Occ T2'!D13</f>
        <v>27.957759360330201</v>
      </c>
      <c r="E15" s="10">
        <f>'Occ T2'!E13</f>
        <v>29.117208402464584</v>
      </c>
      <c r="F15" s="10">
        <f>'Occ T2'!F13</f>
        <v>32.53409025770577</v>
      </c>
      <c r="H15" s="11">
        <f t="shared" ref="H15" si="7">C15-B15</f>
        <v>2.6501399028007349</v>
      </c>
      <c r="I15" s="26">
        <f t="shared" si="5"/>
        <v>2.5014257983701249</v>
      </c>
      <c r="J15" s="11">
        <f t="shared" ref="J15" si="8">E15-D15</f>
        <v>1.1594490421343835</v>
      </c>
      <c r="K15" s="11">
        <f t="shared" ref="K15" si="9">F15-E15</f>
        <v>3.4168818552411864</v>
      </c>
      <c r="L15" s="26">
        <f t="shared" si="4"/>
        <v>4.5763308973755699</v>
      </c>
    </row>
    <row r="16" spans="1:12">
      <c r="A16" s="10"/>
      <c r="B16" s="363"/>
      <c r="C16" s="363"/>
      <c r="D16" s="363"/>
      <c r="E16" s="363"/>
      <c r="F16" s="363"/>
      <c r="H16" s="11"/>
      <c r="I16" s="26"/>
      <c r="J16" s="11"/>
      <c r="K16" s="11"/>
      <c r="L16" s="26"/>
    </row>
    <row r="17" spans="1:12" s="25" customFormat="1">
      <c r="A17" s="25" t="str">
        <f>'Occ T1'!A10</f>
        <v>Associate professional occupations</v>
      </c>
      <c r="B17" s="26">
        <f>'Occ T1'!B10</f>
        <v>56.127385363836439</v>
      </c>
      <c r="C17" s="26">
        <f>'Occ T1'!C10</f>
        <v>58.716382031893609</v>
      </c>
      <c r="D17" s="26">
        <f>'Occ T1'!D10</f>
        <v>60.815602010650593</v>
      </c>
      <c r="E17" s="26">
        <f>'Occ T1'!E10</f>
        <v>65.159050767565844</v>
      </c>
      <c r="F17" s="26">
        <f>'Occ T1'!F10</f>
        <v>71.509944652399085</v>
      </c>
      <c r="H17" s="26">
        <f t="shared" ref="H17:K21" si="10">C17-B17</f>
        <v>2.5889966680571703</v>
      </c>
      <c r="I17" s="26">
        <f t="shared" si="5"/>
        <v>2.0992199787569845</v>
      </c>
      <c r="J17" s="26">
        <f t="shared" si="10"/>
        <v>4.3434487569152509</v>
      </c>
      <c r="K17" s="26">
        <f t="shared" si="10"/>
        <v>6.3508938848332406</v>
      </c>
      <c r="L17" s="26">
        <f t="shared" si="4"/>
        <v>10.694342641748491</v>
      </c>
    </row>
    <row r="18" spans="1:12">
      <c r="A18" s="10" t="str">
        <f>'Occ T2'!A14</f>
        <v>31 Science, engineering and technology associate professionals</v>
      </c>
      <c r="B18" s="10">
        <f>'Occ T2'!B14</f>
        <v>7.6396337675645283</v>
      </c>
      <c r="C18" s="10">
        <f>'Occ T2'!C14</f>
        <v>8.077817744101548</v>
      </c>
      <c r="D18" s="10">
        <f>'Occ T2'!D14</f>
        <v>8.7119007645620972</v>
      </c>
      <c r="E18" s="10">
        <f>'Occ T2'!E14</f>
        <v>8.0146156799495873</v>
      </c>
      <c r="F18" s="10">
        <f>'Occ T2'!F14</f>
        <v>8.4283160725445487</v>
      </c>
      <c r="H18" s="11">
        <f t="shared" si="10"/>
        <v>0.43818397653701968</v>
      </c>
      <c r="I18" s="26">
        <f t="shared" si="5"/>
        <v>0.63408302046054921</v>
      </c>
      <c r="J18" s="11">
        <f t="shared" si="10"/>
        <v>-0.69728508461250982</v>
      </c>
      <c r="K18" s="11">
        <f t="shared" si="10"/>
        <v>0.41370039259496139</v>
      </c>
      <c r="L18" s="26">
        <f t="shared" si="4"/>
        <v>-0.28358469201754843</v>
      </c>
    </row>
    <row r="19" spans="1:12">
      <c r="A19" s="10" t="str">
        <f>'Occ T2'!A15</f>
        <v>32 Health and social care associate professionals</v>
      </c>
      <c r="B19" s="10">
        <f>'Occ T2'!B15</f>
        <v>9.0328897579836376</v>
      </c>
      <c r="C19" s="10">
        <f>'Occ T2'!C15</f>
        <v>10.95672977042833</v>
      </c>
      <c r="D19" s="10">
        <f>'Occ T2'!D15</f>
        <v>11.001883705458065</v>
      </c>
      <c r="E19" s="10">
        <f>'Occ T2'!E15</f>
        <v>17.680149098148942</v>
      </c>
      <c r="F19" s="10">
        <f>'Occ T2'!F15</f>
        <v>21.055821572998454</v>
      </c>
      <c r="H19" s="11">
        <f t="shared" si="10"/>
        <v>1.9238400124446926</v>
      </c>
      <c r="I19" s="26">
        <f t="shared" si="5"/>
        <v>4.5153935029734527E-2</v>
      </c>
      <c r="J19" s="11">
        <f t="shared" si="10"/>
        <v>6.6782653926908768</v>
      </c>
      <c r="K19" s="11">
        <f t="shared" si="10"/>
        <v>3.3756724748495124</v>
      </c>
      <c r="L19" s="26">
        <f t="shared" si="4"/>
        <v>10.053937867540389</v>
      </c>
    </row>
    <row r="20" spans="1:12">
      <c r="A20" s="10" t="str">
        <f>'Occ T2'!A16</f>
        <v>33 Protective service occupations</v>
      </c>
      <c r="B20" s="10">
        <f>'Occ T2'!B16</f>
        <v>4.4444232941510675</v>
      </c>
      <c r="C20" s="10">
        <f>'Occ T2'!C16</f>
        <v>4.4270085893151121</v>
      </c>
      <c r="D20" s="10">
        <f>'Occ T2'!D16</f>
        <v>4.6873216411379666</v>
      </c>
      <c r="E20" s="10">
        <f>'Occ T2'!E16</f>
        <v>4.0581613546153656</v>
      </c>
      <c r="F20" s="10">
        <f>'Occ T2'!F16</f>
        <v>4.4519253372123764</v>
      </c>
      <c r="H20" s="11">
        <f t="shared" si="10"/>
        <v>-1.7414704835955419E-2</v>
      </c>
      <c r="I20" s="26">
        <f t="shared" si="5"/>
        <v>0.26031305182285447</v>
      </c>
      <c r="J20" s="11">
        <f t="shared" si="10"/>
        <v>-0.62916028652260092</v>
      </c>
      <c r="K20" s="11">
        <f t="shared" si="10"/>
        <v>0.39376398259701073</v>
      </c>
      <c r="L20" s="26">
        <f t="shared" si="4"/>
        <v>-0.23539630392559019</v>
      </c>
    </row>
    <row r="21" spans="1:12">
      <c r="A21" s="10" t="str">
        <f>'Occ T2'!A17</f>
        <v>34 Culture, media and sports occupations</v>
      </c>
      <c r="B21" s="10">
        <f>'Occ T2'!B17</f>
        <v>7.5269975158661087</v>
      </c>
      <c r="C21" s="10">
        <f>'Occ T2'!C17</f>
        <v>7.4707121265529306</v>
      </c>
      <c r="D21" s="10">
        <f>'Occ T2'!D17</f>
        <v>7.6956038424600592</v>
      </c>
      <c r="E21" s="10">
        <f>'Occ T2'!E17</f>
        <v>6.6237757922128777</v>
      </c>
      <c r="F21" s="10">
        <f>'Occ T2'!F17</f>
        <v>7.2418470917099587</v>
      </c>
      <c r="H21" s="11">
        <f t="shared" si="10"/>
        <v>-5.6285389313178058E-2</v>
      </c>
      <c r="I21" s="26">
        <f t="shared" si="5"/>
        <v>0.22489171590712864</v>
      </c>
      <c r="J21" s="11">
        <f t="shared" si="10"/>
        <v>-1.0718280502471815</v>
      </c>
      <c r="K21" s="11">
        <f t="shared" si="10"/>
        <v>0.61807129949708095</v>
      </c>
      <c r="L21" s="26">
        <f t="shared" si="4"/>
        <v>-0.45375675075010058</v>
      </c>
    </row>
    <row r="22" spans="1:12">
      <c r="A22" s="10" t="str">
        <f>'Occ T2'!A18</f>
        <v>35 Business and public service associate professionals</v>
      </c>
      <c r="B22" s="10">
        <f>'Occ T2'!B18</f>
        <v>27.483441028271098</v>
      </c>
      <c r="C22" s="10">
        <f>'Occ T2'!C18</f>
        <v>27.784113801495693</v>
      </c>
      <c r="D22" s="10">
        <f>'Occ T2'!D18</f>
        <v>28.718892057032409</v>
      </c>
      <c r="E22" s="10">
        <f>'Occ T2'!E18</f>
        <v>28.782348842639074</v>
      </c>
      <c r="F22" s="10">
        <f>'Occ T2'!F18</f>
        <v>30.332034577933754</v>
      </c>
      <c r="H22" s="11">
        <f t="shared" ref="H22" si="11">C22-B22</f>
        <v>0.30067277322459418</v>
      </c>
      <c r="I22" s="26">
        <f t="shared" si="5"/>
        <v>0.93477825553671678</v>
      </c>
      <c r="J22" s="11">
        <f t="shared" ref="J22" si="12">E22-D22</f>
        <v>6.3456785606664567E-2</v>
      </c>
      <c r="K22" s="11">
        <f t="shared" ref="K22" si="13">F22-E22</f>
        <v>1.5496857352946805</v>
      </c>
      <c r="L22" s="26">
        <f t="shared" si="4"/>
        <v>1.613142520901345</v>
      </c>
    </row>
    <row r="23" spans="1:12">
      <c r="A23" s="10"/>
      <c r="B23" s="363"/>
      <c r="C23" s="363"/>
      <c r="D23" s="363"/>
      <c r="E23" s="363"/>
      <c r="F23" s="363"/>
      <c r="H23" s="11"/>
      <c r="I23" s="26"/>
      <c r="J23" s="11"/>
      <c r="K23" s="11"/>
      <c r="L23" s="26"/>
    </row>
    <row r="24" spans="1:12" s="25" customFormat="1">
      <c r="A24" s="25" t="str">
        <f>'Occ T1'!A11</f>
        <v>Administrative and secretarial occupations</v>
      </c>
      <c r="B24" s="26">
        <f>'Occ T1'!B11</f>
        <v>60.137952735863799</v>
      </c>
      <c r="C24" s="26">
        <f>'Occ T1'!C11</f>
        <v>54.660014915246499</v>
      </c>
      <c r="D24" s="26">
        <f>'Occ T1'!D11</f>
        <v>56.47840028321459</v>
      </c>
      <c r="E24" s="26">
        <f>'Occ T1'!E11</f>
        <v>57.502694930725809</v>
      </c>
      <c r="F24" s="26">
        <f>'Occ T1'!F11</f>
        <v>53.527270896017249</v>
      </c>
      <c r="H24" s="26">
        <f t="shared" ref="H24:K26" si="14">C24-B24</f>
        <v>-5.4779378206172993</v>
      </c>
      <c r="I24" s="26">
        <f t="shared" si="5"/>
        <v>1.8183853679680908</v>
      </c>
      <c r="J24" s="26">
        <f t="shared" si="14"/>
        <v>1.0242946475112191</v>
      </c>
      <c r="K24" s="26">
        <f t="shared" si="14"/>
        <v>-3.9754240347085599</v>
      </c>
      <c r="L24" s="26">
        <f t="shared" si="4"/>
        <v>-2.9511293871973407</v>
      </c>
    </row>
    <row r="25" spans="1:12">
      <c r="A25" t="str">
        <f>'Occ T2'!A19</f>
        <v>41 Administrative occupations</v>
      </c>
      <c r="B25" s="363">
        <f>'Occ T2'!B19</f>
        <v>49.13839945665805</v>
      </c>
      <c r="C25" s="363">
        <f>'Occ T2'!C19</f>
        <v>45.165151846246381</v>
      </c>
      <c r="D25" s="363">
        <f>'Occ T2'!D19</f>
        <v>47.19806700974938</v>
      </c>
      <c r="E25" s="363">
        <f>'Occ T2'!E19</f>
        <v>48.934345395177246</v>
      </c>
      <c r="F25" s="363">
        <f>'Occ T2'!F19</f>
        <v>48.119806641230511</v>
      </c>
      <c r="H25" s="11">
        <f t="shared" si="14"/>
        <v>-3.9732476104116685</v>
      </c>
      <c r="I25" s="26">
        <f t="shared" si="5"/>
        <v>2.0329151635029987</v>
      </c>
      <c r="J25" s="11">
        <f t="shared" si="14"/>
        <v>1.7362783854278661</v>
      </c>
      <c r="K25" s="11">
        <f t="shared" si="14"/>
        <v>-0.81453875394673503</v>
      </c>
      <c r="L25" s="26">
        <f t="shared" si="4"/>
        <v>0.92173963148113103</v>
      </c>
    </row>
    <row r="26" spans="1:12">
      <c r="A26" t="str">
        <f>'Occ T2'!A20</f>
        <v>42 Secretarial and related occupations</v>
      </c>
      <c r="B26" s="363">
        <f>'Occ T2'!B20</f>
        <v>10.999553279205751</v>
      </c>
      <c r="C26" s="363">
        <f>'Occ T2'!C20</f>
        <v>9.4948630690001181</v>
      </c>
      <c r="D26" s="363">
        <f>'Occ T2'!D20</f>
        <v>9.2803332734652102</v>
      </c>
      <c r="E26" s="363">
        <f>'Occ T2'!E20</f>
        <v>8.5683495355485668</v>
      </c>
      <c r="F26" s="363">
        <f>'Occ T2'!F20</f>
        <v>5.4074642547867375</v>
      </c>
      <c r="H26" s="11">
        <f t="shared" si="14"/>
        <v>-1.5046902102056325</v>
      </c>
      <c r="I26" s="26">
        <f t="shared" si="5"/>
        <v>-0.21452979553490792</v>
      </c>
      <c r="J26" s="11">
        <f t="shared" si="14"/>
        <v>-0.71198373791664338</v>
      </c>
      <c r="K26" s="11">
        <f t="shared" si="14"/>
        <v>-3.1608852807618293</v>
      </c>
      <c r="L26" s="26">
        <f t="shared" si="4"/>
        <v>-3.8728690186784727</v>
      </c>
    </row>
    <row r="27" spans="1:12">
      <c r="B27" s="363"/>
      <c r="C27" s="363"/>
      <c r="D27" s="363"/>
      <c r="E27" s="363"/>
      <c r="F27" s="363"/>
      <c r="H27" s="11"/>
      <c r="I27" s="26"/>
      <c r="J27" s="11"/>
      <c r="K27" s="11"/>
      <c r="L27" s="26"/>
    </row>
    <row r="28" spans="1:12" s="25" customFormat="1">
      <c r="A28" s="25" t="str">
        <f>'Occ T1'!A12</f>
        <v>Skilled trades occupations</v>
      </c>
      <c r="B28" s="26">
        <f>'Occ T1'!B12</f>
        <v>61.298727794930358</v>
      </c>
      <c r="C28" s="26">
        <f>'Occ T1'!C12</f>
        <v>61.93589069766864</v>
      </c>
      <c r="D28" s="26">
        <f>'Occ T1'!D12</f>
        <v>52.232847099052961</v>
      </c>
      <c r="E28" s="26">
        <f>'Occ T1'!E12</f>
        <v>51.034079797086527</v>
      </c>
      <c r="F28" s="26">
        <f>'Occ T1'!F12</f>
        <v>46.762923727753545</v>
      </c>
      <c r="H28" s="26">
        <f t="shared" ref="H28:K30" si="15">C28-B28</f>
        <v>0.63716290273828236</v>
      </c>
      <c r="I28" s="26">
        <f t="shared" si="5"/>
        <v>-9.7030435986156789</v>
      </c>
      <c r="J28" s="26">
        <f t="shared" si="15"/>
        <v>-1.1987673019664342</v>
      </c>
      <c r="K28" s="26">
        <f t="shared" si="15"/>
        <v>-4.2711560693329815</v>
      </c>
      <c r="L28" s="26">
        <f t="shared" si="4"/>
        <v>-5.4699233712994157</v>
      </c>
    </row>
    <row r="29" spans="1:12">
      <c r="A29" s="10" t="str">
        <f>'Occ T2'!A21</f>
        <v>51 Skilled agricultural and related trades</v>
      </c>
      <c r="B29" s="10">
        <f>'Occ T2'!B21</f>
        <v>4.3313158907234133</v>
      </c>
      <c r="C29" s="10">
        <f>'Occ T2'!C21</f>
        <v>3.8065912759839784</v>
      </c>
      <c r="D29" s="10">
        <f>'Occ T2'!D21</f>
        <v>3.1931450848658716</v>
      </c>
      <c r="E29" s="10">
        <f>'Occ T2'!E21</f>
        <v>3.1783302802326965</v>
      </c>
      <c r="F29" s="10">
        <f>'Occ T2'!F21</f>
        <v>3.5350171502669578</v>
      </c>
      <c r="H29" s="11">
        <f t="shared" si="15"/>
        <v>-0.52472461473943488</v>
      </c>
      <c r="I29" s="26">
        <f t="shared" si="5"/>
        <v>-0.61344619111810683</v>
      </c>
      <c r="J29" s="11">
        <f t="shared" si="15"/>
        <v>-1.4814804633175083E-2</v>
      </c>
      <c r="K29" s="11">
        <f t="shared" si="15"/>
        <v>0.35668687003426136</v>
      </c>
      <c r="L29" s="26">
        <f t="shared" si="4"/>
        <v>0.34187206540108628</v>
      </c>
    </row>
    <row r="30" spans="1:12">
      <c r="A30" s="10" t="str">
        <f>'Occ T2'!A22</f>
        <v>52 Skilled metal, electrical and electronic trades</v>
      </c>
      <c r="B30" s="10">
        <f>'Occ T2'!B22</f>
        <v>28.622677836919465</v>
      </c>
      <c r="C30" s="10">
        <f>'Occ T2'!C22</f>
        <v>28.343637186861034</v>
      </c>
      <c r="D30" s="10">
        <f>'Occ T2'!D22</f>
        <v>23.236826282247673</v>
      </c>
      <c r="E30" s="10">
        <f>'Occ T2'!E22</f>
        <v>22.623948301451765</v>
      </c>
      <c r="F30" s="10">
        <f>'Occ T2'!F22</f>
        <v>20.841134342227381</v>
      </c>
      <c r="H30" s="11">
        <f t="shared" si="15"/>
        <v>-0.27904065005843037</v>
      </c>
      <c r="I30" s="26">
        <f t="shared" si="5"/>
        <v>-5.1068109046133614</v>
      </c>
      <c r="J30" s="11">
        <f t="shared" si="15"/>
        <v>-0.61287798079590772</v>
      </c>
      <c r="K30" s="11">
        <f t="shared" si="15"/>
        <v>-1.7828139592243843</v>
      </c>
      <c r="L30" s="26">
        <f t="shared" si="4"/>
        <v>-2.3956919400202921</v>
      </c>
    </row>
    <row r="31" spans="1:12">
      <c r="A31" s="10" t="str">
        <f>'Occ T2'!A23</f>
        <v>53 Skilled construction and building trades</v>
      </c>
      <c r="B31" s="10">
        <f>'Occ T2'!B23</f>
        <v>18.67563056886091</v>
      </c>
      <c r="C31" s="10">
        <f>'Occ T2'!C23</f>
        <v>21.339556958033437</v>
      </c>
      <c r="D31" s="10">
        <f>'Occ T2'!D23</f>
        <v>17.473473402618112</v>
      </c>
      <c r="E31" s="10">
        <f>'Occ T2'!E23</f>
        <v>16.813170514329276</v>
      </c>
      <c r="F31" s="10">
        <f>'Occ T2'!F23</f>
        <v>14.401581227548823</v>
      </c>
      <c r="H31" s="11">
        <f t="shared" ref="H31:H32" si="16">C31-B31</f>
        <v>2.6639263891725271</v>
      </c>
      <c r="I31" s="26">
        <f t="shared" si="5"/>
        <v>-3.8660835554153259</v>
      </c>
      <c r="J31" s="11">
        <f t="shared" ref="J31:J32" si="17">E31-D31</f>
        <v>-0.66030288828883599</v>
      </c>
      <c r="K31" s="11">
        <f t="shared" ref="K31:K32" si="18">F31-E31</f>
        <v>-2.4115892867804529</v>
      </c>
      <c r="L31" s="26">
        <f t="shared" si="4"/>
        <v>-3.0718921750692889</v>
      </c>
    </row>
    <row r="32" spans="1:12">
      <c r="A32" s="10" t="str">
        <f>'Occ T2'!A24</f>
        <v>54 Textiles, printing and other skilled trades</v>
      </c>
      <c r="B32" s="10">
        <f>'Occ T2'!B24</f>
        <v>9.6691034984265638</v>
      </c>
      <c r="C32" s="10">
        <f>'Occ T2'!C24</f>
        <v>8.4461052767901954</v>
      </c>
      <c r="D32" s="10">
        <f>'Occ T2'!D24</f>
        <v>8.3294023293213026</v>
      </c>
      <c r="E32" s="10">
        <f>'Occ T2'!E24</f>
        <v>8.418630701072793</v>
      </c>
      <c r="F32" s="10">
        <f>'Occ T2'!F24</f>
        <v>7.9851910077103829</v>
      </c>
      <c r="H32" s="11">
        <f t="shared" si="16"/>
        <v>-1.2229982216363684</v>
      </c>
      <c r="I32" s="26">
        <f t="shared" si="5"/>
        <v>-0.11670294746889276</v>
      </c>
      <c r="J32" s="11">
        <f t="shared" si="17"/>
        <v>8.9228371751490343E-2</v>
      </c>
      <c r="K32" s="11">
        <f t="shared" si="18"/>
        <v>-0.43343969336241006</v>
      </c>
      <c r="L32" s="26">
        <f t="shared" si="4"/>
        <v>-0.34421132161091972</v>
      </c>
    </row>
    <row r="33" spans="1:12">
      <c r="A33" s="10"/>
      <c r="B33" s="363"/>
      <c r="C33" s="363"/>
      <c r="D33" s="363"/>
      <c r="E33" s="363"/>
      <c r="F33" s="363"/>
      <c r="H33" s="11"/>
      <c r="I33" s="26"/>
      <c r="J33" s="11"/>
      <c r="K33" s="11"/>
      <c r="L33" s="26"/>
    </row>
    <row r="34" spans="1:12" s="25" customFormat="1">
      <c r="A34" s="25" t="str">
        <f>'Occ T1'!A13</f>
        <v>Caring, leisure and other service occupations</v>
      </c>
      <c r="B34" s="26">
        <f>'Occ T1'!B13</f>
        <v>50.478192628686543</v>
      </c>
      <c r="C34" s="26">
        <f>'Occ T1'!C13</f>
        <v>51.457710511437895</v>
      </c>
      <c r="D34" s="26">
        <f>'Occ T1'!D13</f>
        <v>49.337956426134348</v>
      </c>
      <c r="E34" s="26">
        <f>'Occ T1'!E13</f>
        <v>50.297533097424598</v>
      </c>
      <c r="F34" s="26">
        <f>'Occ T1'!F13</f>
        <v>53.919691330747085</v>
      </c>
      <c r="H34" s="26">
        <f t="shared" ref="H34:K36" si="19">C34-B34</f>
        <v>0.97951788275135243</v>
      </c>
      <c r="I34" s="26">
        <f t="shared" si="5"/>
        <v>-2.1197540853035477</v>
      </c>
      <c r="J34" s="26">
        <f t="shared" si="19"/>
        <v>0.95957667129025026</v>
      </c>
      <c r="K34" s="26">
        <f t="shared" si="19"/>
        <v>3.6221582333224873</v>
      </c>
      <c r="L34" s="26">
        <f t="shared" si="4"/>
        <v>4.5817349046127376</v>
      </c>
    </row>
    <row r="35" spans="1:12">
      <c r="A35" s="10" t="str">
        <f>'Occ T2'!A25</f>
        <v>61 Caring personal service occupations</v>
      </c>
      <c r="B35" s="10">
        <f>'Occ T2'!B25</f>
        <v>38.549226321705426</v>
      </c>
      <c r="C35" s="10">
        <f>'Occ T2'!C25</f>
        <v>41.06186937421402</v>
      </c>
      <c r="D35" s="10">
        <f>'Occ T2'!D25</f>
        <v>39.709013980070296</v>
      </c>
      <c r="E35" s="10">
        <f>'Occ T2'!E25</f>
        <v>41.475231244635403</v>
      </c>
      <c r="F35" s="10">
        <f>'Occ T2'!F25</f>
        <v>45.131434884626096</v>
      </c>
      <c r="G35" s="10"/>
      <c r="H35" s="11">
        <f t="shared" si="19"/>
        <v>2.5126430525085937</v>
      </c>
      <c r="I35" s="26">
        <f t="shared" si="5"/>
        <v>-1.3528553941437238</v>
      </c>
      <c r="J35" s="11">
        <f t="shared" si="19"/>
        <v>1.7662172645651069</v>
      </c>
      <c r="K35" s="11">
        <f t="shared" si="19"/>
        <v>3.656203639990693</v>
      </c>
      <c r="L35" s="26">
        <f t="shared" si="4"/>
        <v>5.4224209045557998</v>
      </c>
    </row>
    <row r="36" spans="1:12">
      <c r="A36" s="10" t="str">
        <f>'Occ T2'!A26</f>
        <v>62 Leisure, travel and related personal service occupations</v>
      </c>
      <c r="B36" s="10">
        <f>'Occ T2'!B26</f>
        <v>11.482295485656088</v>
      </c>
      <c r="C36" s="10">
        <f>'Occ T2'!C26</f>
        <v>10.028377892597495</v>
      </c>
      <c r="D36" s="10">
        <f>'Occ T2'!D26</f>
        <v>9.1820078898329758</v>
      </c>
      <c r="E36" s="10">
        <f>'Occ T2'!E26</f>
        <v>8.4814204479781505</v>
      </c>
      <c r="F36" s="10">
        <f>'Occ T2'!F26</f>
        <v>8.4132106883947344</v>
      </c>
      <c r="G36" s="10"/>
      <c r="H36" s="11">
        <f t="shared" si="19"/>
        <v>-1.453917593058593</v>
      </c>
      <c r="I36" s="26">
        <f t="shared" si="5"/>
        <v>-0.84637000276451957</v>
      </c>
      <c r="J36" s="11">
        <f t="shared" si="19"/>
        <v>-0.70058744185482524</v>
      </c>
      <c r="K36" s="11">
        <f t="shared" si="19"/>
        <v>-6.820975958341613E-2</v>
      </c>
      <c r="L36" s="26">
        <f t="shared" si="4"/>
        <v>-0.76879720143824137</v>
      </c>
    </row>
    <row r="37" spans="1:12">
      <c r="A37" s="10" t="str">
        <f>'Occ T2'!A27</f>
        <v>63 Community and civil enforcement occupations</v>
      </c>
      <c r="B37" s="10">
        <f>'Occ T2'!B27</f>
        <v>0.44667082132503066</v>
      </c>
      <c r="C37" s="10">
        <f>'Occ T2'!C27</f>
        <v>0.3674632446263803</v>
      </c>
      <c r="D37" s="10">
        <f>'Occ T2'!D27</f>
        <v>0.44693455623107448</v>
      </c>
      <c r="E37" s="10">
        <f>'Occ T2'!E27</f>
        <v>0.34088140481104534</v>
      </c>
      <c r="F37" s="10">
        <f>'Occ T2'!F27</f>
        <v>0.37504575772625592</v>
      </c>
      <c r="G37" s="10"/>
      <c r="H37" s="11">
        <f t="shared" ref="H37" si="20">C37-B37</f>
        <v>-7.9207576698650362E-2</v>
      </c>
      <c r="I37" s="26">
        <f t="shared" ref="I37" si="21">D37-C37</f>
        <v>7.9471311604694173E-2</v>
      </c>
      <c r="J37" s="11">
        <f t="shared" ref="J37" si="22">E37-D37</f>
        <v>-0.10605315142002913</v>
      </c>
      <c r="K37" s="11">
        <f t="shared" ref="K37" si="23">F37-E37</f>
        <v>3.4164352915210583E-2</v>
      </c>
      <c r="L37" s="26">
        <f t="shared" ref="L37" si="24">F37-D37</f>
        <v>-7.1888798504818552E-2</v>
      </c>
    </row>
    <row r="38" spans="1:12">
      <c r="I38" s="26"/>
      <c r="L38" s="26"/>
    </row>
    <row r="39" spans="1:12" s="25" customFormat="1">
      <c r="A39" s="25" t="str">
        <f>'Occ T1'!A14</f>
        <v>Sales and customer service occupations</v>
      </c>
      <c r="B39" s="26">
        <f>'Occ T1'!B14</f>
        <v>43.312490842090227</v>
      </c>
      <c r="C39" s="26">
        <f>'Occ T1'!C14</f>
        <v>39.584257231886966</v>
      </c>
      <c r="D39" s="26">
        <f>'Occ T1'!D14</f>
        <v>39.339785940793128</v>
      </c>
      <c r="E39" s="26">
        <f>'Occ T1'!E14</f>
        <v>39.372468047859556</v>
      </c>
      <c r="F39" s="26">
        <f>'Occ T1'!F14</f>
        <v>39.081082804049579</v>
      </c>
      <c r="H39" s="26">
        <f>C39-B39</f>
        <v>-3.7282336102032616</v>
      </c>
      <c r="I39" s="26">
        <f t="shared" si="5"/>
        <v>-0.24447129109383781</v>
      </c>
      <c r="J39" s="26">
        <f>E39-D39</f>
        <v>3.2682107066428046E-2</v>
      </c>
      <c r="K39" s="26">
        <f>F39-E39</f>
        <v>-0.29138524380997666</v>
      </c>
      <c r="L39" s="26">
        <f t="shared" si="4"/>
        <v>-0.25870313674354861</v>
      </c>
    </row>
    <row r="40" spans="1:12" s="25" customFormat="1">
      <c r="A40" s="108" t="str">
        <f>'Occ T2'!A28</f>
        <v>71 Sales occupations</v>
      </c>
      <c r="B40" s="108">
        <f>'Occ T2'!B28</f>
        <v>34.223800198352485</v>
      </c>
      <c r="C40" s="108">
        <f>'Occ T2'!C28</f>
        <v>30.736255514037811</v>
      </c>
      <c r="D40" s="108">
        <f>'Occ T2'!D28</f>
        <v>30.25093913476638</v>
      </c>
      <c r="E40" s="108">
        <f>'Occ T2'!E28</f>
        <v>29.213833101714457</v>
      </c>
      <c r="F40" s="108">
        <f>'Occ T2'!F28</f>
        <v>27.813348952284226</v>
      </c>
      <c r="G40"/>
      <c r="H40" s="11">
        <f>C40-B40</f>
        <v>-3.487544684314674</v>
      </c>
      <c r="I40" s="26">
        <f t="shared" si="5"/>
        <v>-0.48531637927143123</v>
      </c>
      <c r="J40" s="11">
        <f t="shared" ref="J40" si="25">E40-D40</f>
        <v>-1.0371060330519235</v>
      </c>
      <c r="K40" s="11">
        <f t="shared" ref="K40" si="26">F40-E40</f>
        <v>-1.4004841494302305</v>
      </c>
      <c r="L40" s="26">
        <f t="shared" si="4"/>
        <v>-2.437590182482154</v>
      </c>
    </row>
    <row r="41" spans="1:12" s="25" customFormat="1">
      <c r="A41" s="108" t="str">
        <f>'Occ T2'!A29</f>
        <v>72 Customer service occupations</v>
      </c>
      <c r="B41" s="108">
        <f>'Occ T2'!B29</f>
        <v>9.0886906437377402</v>
      </c>
      <c r="C41" s="108">
        <f>'Occ T2'!C29</f>
        <v>8.8480017178491579</v>
      </c>
      <c r="D41" s="108">
        <f>'Occ T2'!D29</f>
        <v>9.088846806026746</v>
      </c>
      <c r="E41" s="108">
        <f>'Occ T2'!E29</f>
        <v>10.158634946145103</v>
      </c>
      <c r="F41" s="108">
        <f>'Occ T2'!F29</f>
        <v>11.267733851765355</v>
      </c>
      <c r="G41"/>
      <c r="H41" s="11">
        <f t="shared" ref="H41" si="27">C41-B41</f>
        <v>-0.24068892588858226</v>
      </c>
      <c r="I41" s="26">
        <f t="shared" si="5"/>
        <v>0.2408450881775881</v>
      </c>
      <c r="J41" s="11">
        <f t="shared" ref="J41" si="28">E41-D41</f>
        <v>1.0697881401183569</v>
      </c>
      <c r="K41" s="11">
        <f t="shared" ref="K41" si="29">F41-E41</f>
        <v>1.109098905620252</v>
      </c>
      <c r="L41" s="26">
        <f t="shared" si="4"/>
        <v>2.1788870457386089</v>
      </c>
    </row>
    <row r="42" spans="1:12">
      <c r="B42" s="363"/>
      <c r="C42" s="363"/>
      <c r="D42" s="363"/>
      <c r="E42" s="363"/>
      <c r="F42" s="363"/>
      <c r="H42" s="11"/>
      <c r="I42" s="26"/>
      <c r="J42" s="11"/>
      <c r="K42" s="11"/>
      <c r="L42" s="26"/>
    </row>
    <row r="43" spans="1:12" s="25" customFormat="1">
      <c r="A43" s="25" t="str">
        <f>'Occ T1'!A15</f>
        <v>Process, plant and machine operatives</v>
      </c>
      <c r="B43" s="26">
        <f>'Occ T1'!B15</f>
        <v>47.140684059777129</v>
      </c>
      <c r="C43" s="26">
        <f>'Occ T1'!C15</f>
        <v>46.572468845695909</v>
      </c>
      <c r="D43" s="26">
        <f>'Occ T1'!D15</f>
        <v>40.358374305998041</v>
      </c>
      <c r="E43" s="26">
        <f>'Occ T1'!E15</f>
        <v>41.728305575825772</v>
      </c>
      <c r="F43" s="26">
        <f>'Occ T1'!F15</f>
        <v>40.199737732609378</v>
      </c>
      <c r="H43" s="26">
        <f t="shared" ref="H43:K45" si="30">C43-B43</f>
        <v>-0.56821521408122067</v>
      </c>
      <c r="I43" s="26">
        <f t="shared" si="5"/>
        <v>-6.214094539697868</v>
      </c>
      <c r="J43" s="26">
        <f t="shared" si="30"/>
        <v>1.3699312698277311</v>
      </c>
      <c r="K43" s="26">
        <f t="shared" si="30"/>
        <v>-1.5285678432163934</v>
      </c>
      <c r="L43" s="26">
        <f t="shared" si="4"/>
        <v>-0.15863657338866233</v>
      </c>
    </row>
    <row r="44" spans="1:12">
      <c r="A44" s="10" t="str">
        <f>'Occ T2'!A30</f>
        <v>81 Process, plant and machine operatives</v>
      </c>
      <c r="B44" s="10">
        <f>'Occ T2'!B30</f>
        <v>23.01767694669358</v>
      </c>
      <c r="C44" s="10">
        <f>'Occ T2'!C30</f>
        <v>21.737054143198129</v>
      </c>
      <c r="D44" s="10">
        <f>'Occ T2'!D30</f>
        <v>18.382917992462492</v>
      </c>
      <c r="E44" s="10">
        <f>'Occ T2'!E30</f>
        <v>18.988071519329377</v>
      </c>
      <c r="F44" s="10">
        <f>'Occ T2'!F30</f>
        <v>17.514325366127888</v>
      </c>
      <c r="H44" s="11">
        <f t="shared" si="30"/>
        <v>-1.2806228034954508</v>
      </c>
      <c r="I44" s="26">
        <f t="shared" si="5"/>
        <v>-3.3541361507356378</v>
      </c>
      <c r="J44" s="11">
        <f t="shared" si="30"/>
        <v>0.60515352686688573</v>
      </c>
      <c r="K44" s="11">
        <f t="shared" si="30"/>
        <v>-1.4737461532014891</v>
      </c>
      <c r="L44" s="26">
        <f t="shared" si="4"/>
        <v>-0.86859262633460332</v>
      </c>
    </row>
    <row r="45" spans="1:12">
      <c r="A45" s="10" t="str">
        <f>'Occ T2'!A31</f>
        <v>82 Transport and mobile machine drivers and operatives</v>
      </c>
      <c r="B45" s="10">
        <f>'Occ T2'!B31</f>
        <v>24.123007113083549</v>
      </c>
      <c r="C45" s="10">
        <f>'Occ T2'!C31</f>
        <v>24.835414702497779</v>
      </c>
      <c r="D45" s="10">
        <f>'Occ T2'!D31</f>
        <v>21.975456313535553</v>
      </c>
      <c r="E45" s="10">
        <f>'Occ T2'!E31</f>
        <v>22.740234056496391</v>
      </c>
      <c r="F45" s="10">
        <f>'Occ T2'!F31</f>
        <v>22.68541236648149</v>
      </c>
      <c r="H45" s="11">
        <f t="shared" si="30"/>
        <v>0.7124075894142301</v>
      </c>
      <c r="I45" s="26">
        <f t="shared" si="5"/>
        <v>-2.8599583889622266</v>
      </c>
      <c r="J45" s="11">
        <f t="shared" si="30"/>
        <v>0.76477774296083822</v>
      </c>
      <c r="K45" s="11">
        <f t="shared" si="30"/>
        <v>-5.4821690014900781E-2</v>
      </c>
      <c r="L45" s="26">
        <f t="shared" si="4"/>
        <v>0.70995605294593744</v>
      </c>
    </row>
    <row r="46" spans="1:12">
      <c r="B46" s="363"/>
      <c r="C46" s="363"/>
      <c r="D46" s="363"/>
      <c r="E46" s="363"/>
      <c r="F46" s="363"/>
      <c r="H46" s="11"/>
      <c r="I46" s="26"/>
      <c r="J46" s="11"/>
      <c r="K46" s="11"/>
      <c r="L46" s="26"/>
    </row>
    <row r="47" spans="1:12" s="25" customFormat="1">
      <c r="A47" s="25" t="str">
        <f>'Occ T1'!A16</f>
        <v>Elementary occupations</v>
      </c>
      <c r="B47" s="26">
        <f>'Occ T1'!B16</f>
        <v>56.959938314054895</v>
      </c>
      <c r="C47" s="26">
        <f>'Occ T1'!C16</f>
        <v>51.598951207068083</v>
      </c>
      <c r="D47" s="26">
        <f>'Occ T1'!D16</f>
        <v>46.286833202091827</v>
      </c>
      <c r="E47" s="26">
        <f>'Occ T1'!E16</f>
        <v>48.234655478640505</v>
      </c>
      <c r="F47" s="26">
        <f>'Occ T1'!F16</f>
        <v>45.977952071338812</v>
      </c>
      <c r="H47" s="26">
        <f t="shared" ref="H47:K49" si="31">C47-B47</f>
        <v>-5.360987106986812</v>
      </c>
      <c r="I47" s="26">
        <f t="shared" si="5"/>
        <v>-5.3121180049762557</v>
      </c>
      <c r="J47" s="26">
        <f t="shared" si="31"/>
        <v>1.9478222765486777</v>
      </c>
      <c r="K47" s="26">
        <f t="shared" si="31"/>
        <v>-2.2567034073016927</v>
      </c>
      <c r="L47" s="26">
        <f t="shared" si="4"/>
        <v>-0.30888113075301504</v>
      </c>
    </row>
    <row r="48" spans="1:12">
      <c r="A48" s="10" t="str">
        <f>'Occ T2'!A32</f>
        <v>91 Elementary trades and related occupations</v>
      </c>
      <c r="B48" s="10">
        <f>'Occ T2'!B32</f>
        <v>11.487443580203085</v>
      </c>
      <c r="C48" s="10">
        <f>'Occ T2'!C32</f>
        <v>9.8320405541299714</v>
      </c>
      <c r="D48" s="10">
        <f>'Occ T2'!D32</f>
        <v>8.59789452449556</v>
      </c>
      <c r="E48" s="10">
        <f>'Occ T2'!E32</f>
        <v>15.010512028853473</v>
      </c>
      <c r="F48" s="10">
        <f>'Occ T2'!F32</f>
        <v>16.496787208058887</v>
      </c>
      <c r="H48" s="11">
        <f t="shared" si="31"/>
        <v>-1.6554030260731132</v>
      </c>
      <c r="I48" s="26">
        <f t="shared" si="5"/>
        <v>-1.2341460296344113</v>
      </c>
      <c r="J48" s="11">
        <f t="shared" si="31"/>
        <v>6.4126175043579128</v>
      </c>
      <c r="K48" s="11">
        <f t="shared" si="31"/>
        <v>1.4862751792054141</v>
      </c>
      <c r="L48" s="26">
        <f t="shared" si="4"/>
        <v>7.8988926835633269</v>
      </c>
    </row>
    <row r="49" spans="1:12">
      <c r="A49" s="10" t="str">
        <f>'Occ T2'!A33</f>
        <v>92 Elementary administration and service occupations</v>
      </c>
      <c r="B49" s="10">
        <f>'Occ T2'!B33</f>
        <v>45.472494733851811</v>
      </c>
      <c r="C49" s="10">
        <f>'Occ T2'!C33</f>
        <v>41.766910652938115</v>
      </c>
      <c r="D49" s="10">
        <f>'Occ T2'!D33</f>
        <v>37.688938677596269</v>
      </c>
      <c r="E49" s="10">
        <f>'Occ T2'!E33</f>
        <v>33.224143449787029</v>
      </c>
      <c r="F49" s="10">
        <f>'Occ T2'!F33</f>
        <v>29.481164863279925</v>
      </c>
      <c r="H49" s="11">
        <f t="shared" si="31"/>
        <v>-3.7055840809136953</v>
      </c>
      <c r="I49" s="26">
        <f t="shared" si="5"/>
        <v>-4.0779719753418462</v>
      </c>
      <c r="J49" s="11">
        <f t="shared" si="31"/>
        <v>-4.4647952278092404</v>
      </c>
      <c r="K49" s="11">
        <f t="shared" si="31"/>
        <v>-3.7429785865071032</v>
      </c>
      <c r="L49" s="26">
        <f t="shared" si="4"/>
        <v>-8.2077738143163437</v>
      </c>
    </row>
    <row r="50" spans="1:12">
      <c r="B50" s="363"/>
      <c r="C50" s="363"/>
      <c r="D50" s="363"/>
      <c r="E50" s="363"/>
      <c r="F50" s="363"/>
      <c r="H50" s="11"/>
      <c r="I50" s="26"/>
      <c r="J50" s="11"/>
      <c r="K50" s="11"/>
      <c r="L50" s="26"/>
    </row>
    <row r="51" spans="1:12">
      <c r="A51" s="364" t="str">
        <f>'Occ T1'!A18</f>
        <v>All occupations</v>
      </c>
      <c r="B51" s="27">
        <f>'Occ T1'!B18</f>
        <v>505.56200000000013</v>
      </c>
      <c r="C51" s="27">
        <f>'Occ T1'!C18</f>
        <v>509.93099999999964</v>
      </c>
      <c r="D51" s="27">
        <f>'Occ T1'!D18</f>
        <v>496.19399999999968</v>
      </c>
      <c r="E51" s="27">
        <f>'Occ T1'!E18</f>
        <v>508.1280000000001</v>
      </c>
      <c r="F51" s="27">
        <f>'Occ T1'!F18</f>
        <v>521.94399999999951</v>
      </c>
      <c r="G51" s="22"/>
      <c r="H51" s="27">
        <f>C51-B51</f>
        <v>4.3689999999995166</v>
      </c>
      <c r="I51" s="182">
        <f>D51-C51</f>
        <v>-13.736999999999966</v>
      </c>
      <c r="J51" s="27">
        <f>E51-D51</f>
        <v>11.934000000000424</v>
      </c>
      <c r="K51" s="27">
        <f>F51-E51</f>
        <v>13.815999999999406</v>
      </c>
      <c r="L51" s="182">
        <f>F51-D51</f>
        <v>25.749999999999829</v>
      </c>
    </row>
    <row r="53" spans="1:12" ht="15.75">
      <c r="A53" s="18" t="str">
        <f>CONCATENATE(A1," (Continued)")</f>
        <v>Occupation Table 3  Employment Change by Occupation in Occupation Group (SOC 2020), 2015-2035, Black Country (Continued)</v>
      </c>
    </row>
    <row r="55" spans="1:12">
      <c r="L55" s="16" t="s">
        <v>164</v>
      </c>
    </row>
    <row r="56" spans="1:12">
      <c r="A56" s="29"/>
      <c r="B56" s="24" t="s">
        <v>123</v>
      </c>
      <c r="C56" s="24"/>
      <c r="D56" s="24"/>
      <c r="E56" s="24"/>
      <c r="F56" s="24"/>
      <c r="G56" s="24"/>
      <c r="H56" s="24" t="s">
        <v>122</v>
      </c>
      <c r="I56" s="24"/>
      <c r="J56" s="24"/>
      <c r="K56" s="24"/>
      <c r="L56" s="24"/>
    </row>
    <row r="57" spans="1:12">
      <c r="A57" s="22"/>
      <c r="B57" s="30" t="str">
        <f>H5</f>
        <v>2015-2019</v>
      </c>
      <c r="C57" s="30" t="str">
        <f>I5</f>
        <v>2019-2020</v>
      </c>
      <c r="D57" s="30" t="str">
        <f>J5</f>
        <v>2020-2025</v>
      </c>
      <c r="E57" s="30" t="str">
        <f>K5</f>
        <v>2025-2035</v>
      </c>
      <c r="F57" s="30" t="str">
        <f>L5</f>
        <v>2020-2035</v>
      </c>
      <c r="G57" s="1"/>
      <c r="H57" s="33">
        <f>B5</f>
        <v>2015</v>
      </c>
      <c r="I57" s="33">
        <f>C5</f>
        <v>2019</v>
      </c>
      <c r="J57" s="33">
        <f>D5</f>
        <v>2020</v>
      </c>
      <c r="K57" s="33">
        <f>E5</f>
        <v>2025</v>
      </c>
      <c r="L57" s="33">
        <f>F5</f>
        <v>2035</v>
      </c>
    </row>
    <row r="59" spans="1:12" s="25" customFormat="1">
      <c r="A59" s="25" t="str">
        <f>A7</f>
        <v>Managers, directors and senior officials</v>
      </c>
      <c r="B59" s="35">
        <f>IF(AND(C$5-B$5 &lt;&gt; 0,C7 &lt;&gt; 0,B7 &lt;&gt; 0),(EXP(LN(C7/B7)/(C$5-B$5))-1)*100,0)</f>
        <v>2.2535150400792237</v>
      </c>
      <c r="C59" s="35">
        <f>IF(AND(D$5-C$5 &lt;&gt; 0,D7 &lt;&gt; 0,C7 &lt;&gt; 0),(EXP(LN(D7/C7)/(D$5-C$5))-1)*100,0)</f>
        <v>3.1399608056009942</v>
      </c>
      <c r="D59" s="35">
        <f>IF(AND(E$5-D$5 &lt;&gt; 0,E7 &lt;&gt; 0,D7 &lt;&gt; 0),(EXP(LN(E7/D7)/(E$5-D$5))-1)*100,0)</f>
        <v>-1.2719130547734658</v>
      </c>
      <c r="E59" s="35">
        <f>IF(AND(F$5-E$5 &lt;&gt; 0,F7 &lt;&gt; 0,E7 &lt;&gt; 0),(EXP(LN(F7/E7)/(F$5-E$5))-1)*100,0)</f>
        <v>0.93833309451352154</v>
      </c>
      <c r="F59" s="35">
        <f>IF(AND(F$5-D$5 &lt;&gt; 0,F7 &lt;&gt; 0,D7 &lt;&gt; 0),(EXP(LN(F7/D7)/(F$5-D$5))-1)*100,0)</f>
        <v>0.1961404623199936</v>
      </c>
      <c r="H59" s="35">
        <f>(B7/B$51)*100</f>
        <v>8.3852664195490014</v>
      </c>
      <c r="I59" s="35">
        <f>(C7/C$51)*100</f>
        <v>9.0885135458674444</v>
      </c>
      <c r="J59" s="35">
        <f>(D7/D$51)*100</f>
        <v>9.6334029618205399</v>
      </c>
      <c r="K59" s="35">
        <f>(E7/E$51)*100</f>
        <v>8.8239231553748887</v>
      </c>
      <c r="L59" s="35">
        <f>(F7/F$51)*100</f>
        <v>9.4313143338239822</v>
      </c>
    </row>
    <row r="60" spans="1:12" s="25" customFormat="1">
      <c r="A60" s="25" t="str">
        <f>A8</f>
        <v>11 Corporate managers and directors</v>
      </c>
      <c r="B60" s="35">
        <f t="shared" ref="B60:E60" si="32">IF(AND(C$5-B$5 &lt;&gt; 0,C8 &lt;&gt; 0,B8 &lt;&gt; 0),(EXP(LN(C8/B8)/(C$5-B$5))-1)*100,0)</f>
        <v>3.0303782938927437</v>
      </c>
      <c r="C60" s="35">
        <f t="shared" si="32"/>
        <v>2.6330496026515826</v>
      </c>
      <c r="D60" s="35">
        <f t="shared" si="32"/>
        <v>-2.040740970542354</v>
      </c>
      <c r="E60" s="35">
        <f t="shared" si="32"/>
        <v>0.8498281222134807</v>
      </c>
      <c r="F60" s="35">
        <f>IF(AND(F$5-D$5 &lt;&gt; 0,F8 &lt;&gt; 0,D8 &lt;&gt; 0),(EXP(LN(F8/D8)/(F$5-D$5))-1)*100,0)</f>
        <v>-0.12304988831006725</v>
      </c>
      <c r="H60" s="35">
        <f t="shared" ref="H60:L60" si="33">(B8/B$51)*100</f>
        <v>5.9104097619839706</v>
      </c>
      <c r="I60" s="35">
        <f t="shared" si="33"/>
        <v>6.6030072989576665</v>
      </c>
      <c r="J60" s="35">
        <f t="shared" si="33"/>
        <v>6.9644835525859445</v>
      </c>
      <c r="K60" s="35">
        <f t="shared" si="33"/>
        <v>6.1347201436068293</v>
      </c>
      <c r="L60" s="35">
        <f t="shared" si="33"/>
        <v>6.4997342006689953</v>
      </c>
    </row>
    <row r="61" spans="1:12" s="25" customFormat="1">
      <c r="A61" s="25" t="str">
        <f>A9</f>
        <v>12 Other managers and proprietors</v>
      </c>
      <c r="B61" s="35">
        <f t="shared" ref="B61:E61" si="34">IF(AND(C$5-B$5 &lt;&gt; 0,C9 &lt;&gt; 0,B9 &lt;&gt; 0),(EXP(LN(C9/B9)/(C$5-B$5))-1)*100,0)</f>
        <v>0.3229860382378158</v>
      </c>
      <c r="C61" s="35">
        <f>IF(AND(D$5-C$5 &lt;&gt; 0,D9 &lt;&gt; 0,C9 &lt;&gt; 0),(EXP(LN(D9/C9)/(D$5-C$5))-1)*100,0)</f>
        <v>4.4866234330475985</v>
      </c>
      <c r="D61" s="35">
        <f t="shared" si="34"/>
        <v>0.62872023571027835</v>
      </c>
      <c r="E61" s="35">
        <f t="shared" si="34"/>
        <v>1.1376588600769955</v>
      </c>
      <c r="F61" s="35">
        <f>IF(AND(F$5-D$5 &lt;&gt; 0,F9 &lt;&gt; 0,D9 &lt;&gt; 0),(EXP(LN(F9/D9)/(F$5-D$5))-1)*100,0)</f>
        <v>0.96772729272256441</v>
      </c>
      <c r="H61" s="35">
        <f t="shared" ref="H61:L61" si="35">(B9/B$51)*100</f>
        <v>2.4748566575650321</v>
      </c>
      <c r="I61" s="35">
        <f t="shared" si="35"/>
        <v>2.4855062469097775</v>
      </c>
      <c r="J61" s="35">
        <f t="shared" si="35"/>
        <v>2.6689194092345963</v>
      </c>
      <c r="K61" s="35">
        <f t="shared" si="35"/>
        <v>2.689203011768059</v>
      </c>
      <c r="L61" s="35">
        <f t="shared" si="35"/>
        <v>2.9315801331549878</v>
      </c>
    </row>
    <row r="62" spans="1:12">
      <c r="B62" s="31"/>
      <c r="C62" s="35"/>
      <c r="D62" s="31"/>
      <c r="E62" s="31"/>
      <c r="F62" s="35"/>
      <c r="H62" s="31"/>
      <c r="I62" s="31"/>
      <c r="J62" s="31"/>
      <c r="K62" s="31"/>
      <c r="L62" s="31"/>
    </row>
    <row r="63" spans="1:12" s="25" customFormat="1">
      <c r="A63" s="25" t="str">
        <f>A11</f>
        <v>Professional occupations</v>
      </c>
      <c r="B63" s="35">
        <f t="shared" ref="B63:E67" si="36">IF(AND(C$5-B$5 &lt;&gt; 0,C11 &lt;&gt; 0,B11 &lt;&gt; 0),(EXP(LN(C11/B11)/(C$5-B$5))-1)*100,0)</f>
        <v>3.0878921424440708</v>
      </c>
      <c r="C63" s="35">
        <f t="shared" si="36"/>
        <v>4.5261949315445138</v>
      </c>
      <c r="D63" s="35">
        <f t="shared" si="36"/>
        <v>1.2101304974909022</v>
      </c>
      <c r="E63" s="35">
        <f t="shared" si="36"/>
        <v>1.0226215468854605</v>
      </c>
      <c r="F63" s="35">
        <f>IF(AND(F$5-D$5 &lt;&gt; 0,F11 &lt;&gt; 0,D11 &lt;&gt; 0),(EXP(LN(F11/D11)/(F$5-D$5))-1)*100,0)</f>
        <v>1.0850858994736923</v>
      </c>
      <c r="H63" s="35">
        <f>(B11/B$51)*100</f>
        <v>17.349782547889351</v>
      </c>
      <c r="I63" s="35">
        <f>(C11/C$51)*100</f>
        <v>19.426192278862214</v>
      </c>
      <c r="J63" s="35">
        <f>(D11/D$51)*100</f>
        <v>20.867610902124678</v>
      </c>
      <c r="K63" s="35">
        <f>(E11/E$51)*100</f>
        <v>21.640686609265416</v>
      </c>
      <c r="L63" s="35">
        <f>(F11/F$51)*100</f>
        <v>23.32419138807051</v>
      </c>
    </row>
    <row r="64" spans="1:12">
      <c r="A64" t="str">
        <f>A12</f>
        <v>21 Science, research, engineering and technology professionals</v>
      </c>
      <c r="B64" s="370">
        <f t="shared" si="36"/>
        <v>1.8773236967932538</v>
      </c>
      <c r="C64" s="35">
        <f t="shared" si="36"/>
        <v>4.5125374341252522</v>
      </c>
      <c r="D64" s="370">
        <f t="shared" si="36"/>
        <v>3.9217974408579437</v>
      </c>
      <c r="E64" s="370">
        <f t="shared" si="36"/>
        <v>1.2090748903252235</v>
      </c>
      <c r="F64" s="35">
        <f>IF(AND(F$5-D$5 &lt;&gt; 0,F12 &lt;&gt; 0,D12 &lt;&gt; 0),(EXP(LN(F12/D12)/(F$5-D$5))-1)*100,0)</f>
        <v>2.1053550953749944</v>
      </c>
      <c r="H64" s="31">
        <f t="shared" ref="H64:L67" si="37">(B12/B$11)*100</f>
        <v>27.011186652397299</v>
      </c>
      <c r="I64" s="31">
        <f t="shared" si="37"/>
        <v>25.764584072237025</v>
      </c>
      <c r="J64" s="31">
        <f t="shared" si="37"/>
        <v>25.761217645852657</v>
      </c>
      <c r="K64" s="31">
        <f t="shared" si="37"/>
        <v>29.402192139313488</v>
      </c>
      <c r="L64" s="31">
        <f t="shared" si="37"/>
        <v>29.949385775117417</v>
      </c>
    </row>
    <row r="65" spans="1:12">
      <c r="A65" t="str">
        <f>A13</f>
        <v>22 Health professionals</v>
      </c>
      <c r="B65" s="370">
        <f t="shared" si="36"/>
        <v>5.9533902611244471</v>
      </c>
      <c r="C65" s="35">
        <f t="shared" si="36"/>
        <v>-1.5760066522252481</v>
      </c>
      <c r="D65" s="370">
        <f t="shared" si="36"/>
        <v>-0.25509433363543055</v>
      </c>
      <c r="E65" s="370">
        <f t="shared" si="36"/>
        <v>0.74158810770108552</v>
      </c>
      <c r="F65" s="35">
        <f>IF(AND(F$5-D$5 &lt;&gt; 0,F13 &lt;&gt; 0,D13 &lt;&gt; 0),(EXP(LN(F13/D13)/(F$5-D$5))-1)*100,0)</f>
        <v>0.40825893933129631</v>
      </c>
      <c r="H65" s="31">
        <f t="shared" si="37"/>
        <v>24.710758519247157</v>
      </c>
      <c r="I65" s="31">
        <f t="shared" si="37"/>
        <v>27.574958590487686</v>
      </c>
      <c r="J65" s="31">
        <f t="shared" si="37"/>
        <v>25.965142447333712</v>
      </c>
      <c r="K65" s="31">
        <f t="shared" si="37"/>
        <v>24.13928515597156</v>
      </c>
      <c r="L65" s="31">
        <f t="shared" si="37"/>
        <v>23.476102156032034</v>
      </c>
    </row>
    <row r="66" spans="1:12">
      <c r="A66" t="str">
        <f>A14</f>
        <v>23 Teaching and other educational professionals</v>
      </c>
      <c r="B66" s="370">
        <f t="shared" si="36"/>
        <v>1.5319874948684697</v>
      </c>
      <c r="C66" s="35">
        <f t="shared" si="36"/>
        <v>6.0726399362236227</v>
      </c>
      <c r="D66" s="370">
        <f t="shared" si="36"/>
        <v>-5.1741183103570787E-2</v>
      </c>
      <c r="E66" s="370">
        <f t="shared" si="36"/>
        <v>0.95711284592294721</v>
      </c>
      <c r="F66" s="35">
        <f>IF(AND(F$5-D$5 &lt;&gt; 0,F14 &lt;&gt; 0,D14 &lt;&gt; 0),(EXP(LN(F14/D14)/(F$5-D$5))-1)*100,0)</f>
        <v>0.61970175648629056</v>
      </c>
      <c r="H66" s="31">
        <f t="shared" si="37"/>
        <v>22.2773962423489</v>
      </c>
      <c r="I66" s="31">
        <f t="shared" si="37"/>
        <v>20.96260937388784</v>
      </c>
      <c r="J66" s="31">
        <f t="shared" si="37"/>
        <v>21.272747158703588</v>
      </c>
      <c r="K66" s="31">
        <f t="shared" si="37"/>
        <v>19.97927928542434</v>
      </c>
      <c r="L66" s="31">
        <f t="shared" si="37"/>
        <v>19.850099898143846</v>
      </c>
    </row>
    <row r="67" spans="1:12">
      <c r="A67" t="str">
        <f>A15</f>
        <v>24 Business, media and public service professionals</v>
      </c>
      <c r="B67" s="370">
        <f t="shared" si="36"/>
        <v>2.7864250271628199</v>
      </c>
      <c r="C67" s="35">
        <f t="shared" si="36"/>
        <v>9.826339650530258</v>
      </c>
      <c r="D67" s="370">
        <f t="shared" si="36"/>
        <v>0.81600283389537953</v>
      </c>
      <c r="E67" s="370">
        <f t="shared" si="36"/>
        <v>1.1157699664662291</v>
      </c>
      <c r="F67" s="35">
        <f>IF(AND(F$5-D$5 &lt;&gt; 0,F15 &lt;&gt; 0,D15 &lt;&gt; 0),(EXP(LN(F15/D15)/(F$5-D$5))-1)*100,0)</f>
        <v>1.015748682921247</v>
      </c>
      <c r="H67" s="31">
        <f t="shared" si="37"/>
        <v>26.000658586006658</v>
      </c>
      <c r="I67" s="31">
        <f t="shared" si="37"/>
        <v>25.697847963387449</v>
      </c>
      <c r="J67" s="31">
        <f t="shared" si="37"/>
        <v>27.000892748110051</v>
      </c>
      <c r="K67" s="31">
        <f t="shared" si="37"/>
        <v>26.479243419290611</v>
      </c>
      <c r="L67" s="31">
        <f t="shared" si="37"/>
        <v>26.724412170706703</v>
      </c>
    </row>
    <row r="68" spans="1:12">
      <c r="B68" s="31"/>
      <c r="C68" s="35"/>
      <c r="D68" s="31"/>
      <c r="E68" s="31"/>
      <c r="F68" s="35"/>
      <c r="H68" s="31"/>
      <c r="I68" s="31"/>
      <c r="J68" s="31"/>
      <c r="K68" s="31"/>
      <c r="L68" s="31"/>
    </row>
    <row r="69" spans="1:12" s="25" customFormat="1">
      <c r="A69" s="25" t="str">
        <f t="shared" ref="A69:A74" si="38">A17</f>
        <v>Associate professional occupations</v>
      </c>
      <c r="B69" s="35">
        <f t="shared" ref="B69:E74" si="39">IF(AND(C$5-B$5 &lt;&gt; 0,C17 &lt;&gt; 0,B17 &lt;&gt; 0),(EXP(LN(C17/B17)/(C$5-B$5))-1)*100,0)</f>
        <v>1.1337518594024765</v>
      </c>
      <c r="C69" s="35">
        <f t="shared" si="39"/>
        <v>3.5751861850356059</v>
      </c>
      <c r="D69" s="35">
        <f t="shared" si="39"/>
        <v>1.3892586990257971</v>
      </c>
      <c r="E69" s="35">
        <f t="shared" si="39"/>
        <v>0.93439153499115246</v>
      </c>
      <c r="F69" s="35">
        <f t="shared" ref="F69:F74" si="40">IF(AND(F$5-D$5 &lt;&gt; 0,F17 &lt;&gt; 0,D17 &lt;&gt; 0),(EXP(LN(F17/D17)/(F$5-D$5))-1)*100,0)</f>
        <v>1.0857867262725973</v>
      </c>
      <c r="H69" s="35">
        <f>(B17/B$51)*100</f>
        <v>11.101978662129754</v>
      </c>
      <c r="I69" s="35">
        <f>(C17/C$51)*100</f>
        <v>11.514573938806162</v>
      </c>
      <c r="J69" s="35">
        <f>(D17/D$51)*100</f>
        <v>12.256416242568559</v>
      </c>
      <c r="K69" s="35">
        <f>(E17/E$51)*100</f>
        <v>12.823353715513775</v>
      </c>
      <c r="L69" s="35">
        <f>(F17/F$51)*100</f>
        <v>13.7006929196234</v>
      </c>
    </row>
    <row r="70" spans="1:12">
      <c r="A70" t="str">
        <f t="shared" si="38"/>
        <v>31 Science, engineering and technology associate professionals</v>
      </c>
      <c r="B70" s="370">
        <f t="shared" si="39"/>
        <v>1.4040679544263135</v>
      </c>
      <c r="C70" s="35">
        <f t="shared" si="39"/>
        <v>7.8496821858051735</v>
      </c>
      <c r="D70" s="370">
        <f t="shared" si="39"/>
        <v>-1.6546214430430584</v>
      </c>
      <c r="E70" s="370">
        <f t="shared" si="39"/>
        <v>0.50457032122892542</v>
      </c>
      <c r="F70" s="35">
        <f t="shared" si="40"/>
        <v>-0.22037679293600565</v>
      </c>
      <c r="H70" s="31">
        <f t="shared" ref="H70:L74" si="41">(B18/B$17)*100</f>
        <v>13.61124114020611</v>
      </c>
      <c r="I70" s="31">
        <f t="shared" si="41"/>
        <v>13.757349251719619</v>
      </c>
      <c r="J70" s="31">
        <f t="shared" si="41"/>
        <v>14.32510815733829</v>
      </c>
      <c r="K70" s="31">
        <f t="shared" si="41"/>
        <v>12.30008047314743</v>
      </c>
      <c r="L70" s="31">
        <f t="shared" si="41"/>
        <v>11.786215348807136</v>
      </c>
    </row>
    <row r="71" spans="1:12">
      <c r="A71" t="str">
        <f t="shared" si="38"/>
        <v>32 Health and social care associate professionals</v>
      </c>
      <c r="B71" s="370">
        <f t="shared" si="39"/>
        <v>4.9454369661249942</v>
      </c>
      <c r="C71" s="35">
        <f t="shared" si="39"/>
        <v>0.41211142353445585</v>
      </c>
      <c r="D71" s="370">
        <f t="shared" si="39"/>
        <v>9.9521623238132193</v>
      </c>
      <c r="E71" s="370">
        <f t="shared" si="39"/>
        <v>1.7627013040600659</v>
      </c>
      <c r="F71" s="35">
        <f t="shared" si="40"/>
        <v>4.422401319894731</v>
      </c>
      <c r="H71" s="31">
        <f t="shared" si="41"/>
        <v>16.093551658302687</v>
      </c>
      <c r="I71" s="31">
        <f t="shared" si="41"/>
        <v>18.660430686067894</v>
      </c>
      <c r="J71" s="31">
        <f t="shared" si="41"/>
        <v>18.090561207519269</v>
      </c>
      <c r="K71" s="31">
        <f t="shared" si="41"/>
        <v>27.133834655168997</v>
      </c>
      <c r="L71" s="31">
        <f t="shared" si="41"/>
        <v>29.444606166804039</v>
      </c>
    </row>
    <row r="72" spans="1:12">
      <c r="A72" t="str">
        <f t="shared" si="38"/>
        <v>33 Protective service occupations</v>
      </c>
      <c r="B72" s="370">
        <f t="shared" si="39"/>
        <v>-9.8102447829739869E-2</v>
      </c>
      <c r="C72" s="35">
        <f t="shared" si="39"/>
        <v>5.8801117407166981</v>
      </c>
      <c r="D72" s="370">
        <f t="shared" si="39"/>
        <v>-2.8414754351979266</v>
      </c>
      <c r="E72" s="370">
        <f t="shared" si="39"/>
        <v>0.93036786339304456</v>
      </c>
      <c r="F72" s="35">
        <f t="shared" si="40"/>
        <v>-0.34290857454674084</v>
      </c>
      <c r="H72" s="31">
        <f t="shared" si="41"/>
        <v>7.918457746322642</v>
      </c>
      <c r="I72" s="31">
        <f t="shared" si="41"/>
        <v>7.5396481120216947</v>
      </c>
      <c r="J72" s="31">
        <f t="shared" si="41"/>
        <v>7.7074327741047099</v>
      </c>
      <c r="K72" s="31">
        <f t="shared" si="41"/>
        <v>6.2280854414094575</v>
      </c>
      <c r="L72" s="31">
        <f t="shared" si="41"/>
        <v>6.2256031085643118</v>
      </c>
    </row>
    <row r="73" spans="1:12">
      <c r="A73" t="str">
        <f t="shared" si="38"/>
        <v>34 Culture, media and sports occupations</v>
      </c>
      <c r="B73" s="370">
        <f t="shared" si="39"/>
        <v>-0.18747154936609167</v>
      </c>
      <c r="C73" s="35">
        <f t="shared" si="39"/>
        <v>3.0103116288981768</v>
      </c>
      <c r="D73" s="370">
        <f t="shared" si="39"/>
        <v>-2.9551296495780921</v>
      </c>
      <c r="E73" s="370">
        <f t="shared" si="39"/>
        <v>0.89609841967528414</v>
      </c>
      <c r="F73" s="35">
        <f t="shared" si="40"/>
        <v>-0.40433329111217997</v>
      </c>
      <c r="H73" s="31">
        <f t="shared" si="41"/>
        <v>13.410561470258411</v>
      </c>
      <c r="I73" s="31">
        <f t="shared" si="41"/>
        <v>12.723386332786962</v>
      </c>
      <c r="J73" s="31">
        <f t="shared" si="41"/>
        <v>12.65399599450209</v>
      </c>
      <c r="K73" s="31">
        <f t="shared" si="41"/>
        <v>10.165549857135101</v>
      </c>
      <c r="L73" s="31">
        <f t="shared" si="41"/>
        <v>10.127048939712754</v>
      </c>
    </row>
    <row r="74" spans="1:12">
      <c r="A74" t="str">
        <f t="shared" si="38"/>
        <v>35 Business and public service associate professionals</v>
      </c>
      <c r="B74" s="370">
        <f t="shared" si="39"/>
        <v>0.27238861763787536</v>
      </c>
      <c r="C74" s="35">
        <f t="shared" si="39"/>
        <v>3.364434303052688</v>
      </c>
      <c r="D74" s="370">
        <f t="shared" si="39"/>
        <v>4.4152660554086509E-2</v>
      </c>
      <c r="E74" s="370">
        <f t="shared" si="39"/>
        <v>0.52579838303723481</v>
      </c>
      <c r="F74" s="35">
        <f t="shared" si="40"/>
        <v>0.36499271392635979</v>
      </c>
      <c r="H74" s="31">
        <f t="shared" si="41"/>
        <v>48.966187984910157</v>
      </c>
      <c r="I74" s="31">
        <f t="shared" si="41"/>
        <v>47.319185617403839</v>
      </c>
      <c r="J74" s="31">
        <f t="shared" si="41"/>
        <v>47.222901866535651</v>
      </c>
      <c r="K74" s="31">
        <f t="shared" si="41"/>
        <v>44.172449573139019</v>
      </c>
      <c r="L74" s="31">
        <f t="shared" si="41"/>
        <v>42.416526436111774</v>
      </c>
    </row>
    <row r="75" spans="1:12">
      <c r="A75" s="25"/>
      <c r="B75" s="31"/>
      <c r="C75" s="35"/>
      <c r="D75" s="31"/>
      <c r="E75" s="31"/>
      <c r="F75" s="35"/>
      <c r="H75" s="31"/>
      <c r="I75" s="31"/>
      <c r="J75" s="31"/>
      <c r="K75" s="31"/>
      <c r="L75" s="31"/>
    </row>
    <row r="76" spans="1:12" s="25" customFormat="1">
      <c r="A76" s="25" t="str">
        <f>A24</f>
        <v>Administrative and secretarial occupations</v>
      </c>
      <c r="B76" s="35">
        <f t="shared" ref="B76:E78" si="42">IF(AND(C$5-B$5 &lt;&gt; 0,C24 &lt;&gt; 0,B24 &lt;&gt; 0),(EXP(LN(C24/B24)/(C$5-B$5))-1)*100,0)</f>
        <v>-2.3594366184096605</v>
      </c>
      <c r="C76" s="35">
        <f t="shared" si="42"/>
        <v>3.3267194873393358</v>
      </c>
      <c r="D76" s="35">
        <f t="shared" si="42"/>
        <v>0.3601177891572549</v>
      </c>
      <c r="E76" s="35">
        <f t="shared" si="42"/>
        <v>-0.71384547920831931</v>
      </c>
      <c r="F76" s="35">
        <f>IF(AND(F$5-D$5 &lt;&gt; 0,F24 &lt;&gt; 0,D24 &lt;&gt; 0),(EXP(LN(F24/D24)/(F$5-D$5))-1)*100,0)</f>
        <v>-0.35714078831445839</v>
      </c>
      <c r="H76" s="35">
        <f>(B24/B$51)*100</f>
        <v>11.895267590496077</v>
      </c>
      <c r="I76" s="35">
        <f>(C24/C$51)*100</f>
        <v>10.719100214587177</v>
      </c>
      <c r="J76" s="35">
        <f>(D24/D$51)*100</f>
        <v>11.38232229394443</v>
      </c>
      <c r="K76" s="35">
        <f>(E24/E$51)*100</f>
        <v>11.316576715065061</v>
      </c>
      <c r="L76" s="35">
        <f>(F24/F$51)*100</f>
        <v>10.255366647766293</v>
      </c>
    </row>
    <row r="77" spans="1:12">
      <c r="A77" t="str">
        <f>A25</f>
        <v>41 Administrative occupations</v>
      </c>
      <c r="B77" s="370">
        <f t="shared" si="42"/>
        <v>-2.0858141688019138</v>
      </c>
      <c r="C77" s="35">
        <f t="shared" si="42"/>
        <v>4.5010701401460018</v>
      </c>
      <c r="D77" s="370">
        <f t="shared" si="42"/>
        <v>0.72514798014069459</v>
      </c>
      <c r="E77" s="370">
        <f t="shared" si="42"/>
        <v>-0.16771556923627085</v>
      </c>
      <c r="F77" s="35">
        <f>IF(AND(F$5-D$5 &lt;&gt; 0,F25 &lt;&gt; 0,D25 &lt;&gt; 0),(EXP(LN(F25/D25)/(F$5-D$5))-1)*100,0)</f>
        <v>0.12902272457058217</v>
      </c>
      <c r="H77" s="31">
        <f t="shared" ref="H77:L78" si="43">(B25/B$24)*100</f>
        <v>81.709465023663725</v>
      </c>
      <c r="I77" s="31">
        <f t="shared" si="43"/>
        <v>82.629234397900447</v>
      </c>
      <c r="J77" s="31">
        <f t="shared" si="43"/>
        <v>83.56834962228325</v>
      </c>
      <c r="K77" s="31">
        <f t="shared" si="43"/>
        <v>85.099220921956871</v>
      </c>
      <c r="L77" s="31">
        <f t="shared" si="43"/>
        <v>89.89773966752135</v>
      </c>
    </row>
    <row r="78" spans="1:12">
      <c r="A78" t="str">
        <f>A26</f>
        <v>42 Secretarial and related occupations</v>
      </c>
      <c r="B78" s="370">
        <f t="shared" si="42"/>
        <v>-3.6107913934231406</v>
      </c>
      <c r="C78" s="35">
        <f t="shared" si="42"/>
        <v>-2.2594301147462414</v>
      </c>
      <c r="D78" s="370">
        <f t="shared" si="42"/>
        <v>-1.5837709631233654</v>
      </c>
      <c r="E78" s="370">
        <f t="shared" si="42"/>
        <v>-4.4986197690612295</v>
      </c>
      <c r="F78" s="35">
        <f>IF(AND(F$5-D$5 &lt;&gt; 0,F26 &lt;&gt; 0,D26 &lt;&gt; 0),(EXP(LN(F26/D26)/(F$5-D$5))-1)*100,0)</f>
        <v>-3.5367242946928501</v>
      </c>
      <c r="H78" s="31">
        <f t="shared" si="43"/>
        <v>18.290534976336286</v>
      </c>
      <c r="I78" s="31">
        <f t="shared" si="43"/>
        <v>17.370765602099542</v>
      </c>
      <c r="J78" s="31">
        <f t="shared" si="43"/>
        <v>16.431650377716753</v>
      </c>
      <c r="K78" s="31">
        <f t="shared" si="43"/>
        <v>14.900779078043143</v>
      </c>
      <c r="L78" s="31">
        <f t="shared" si="43"/>
        <v>10.102260332478645</v>
      </c>
    </row>
    <row r="79" spans="1:12">
      <c r="B79" s="31"/>
      <c r="C79" s="35"/>
      <c r="D79" s="31"/>
      <c r="E79" s="31"/>
      <c r="F79" s="35"/>
      <c r="H79" s="31"/>
      <c r="I79" s="31"/>
      <c r="J79" s="31"/>
      <c r="K79" s="31"/>
      <c r="L79" s="31"/>
    </row>
    <row r="80" spans="1:12" s="25" customFormat="1">
      <c r="A80" s="25" t="str">
        <f>A28</f>
        <v>Skilled trades occupations</v>
      </c>
      <c r="B80" s="35">
        <f t="shared" ref="B80:E84" si="44">IF(AND(C$5-B$5 &lt;&gt; 0,C28 &lt;&gt; 0,B28 &lt;&gt; 0),(EXP(LN(C28/B28)/(C$5-B$5))-1)*100,0)</f>
        <v>0.25885294966077055</v>
      </c>
      <c r="C80" s="35">
        <f t="shared" si="44"/>
        <v>-15.666269572160873</v>
      </c>
      <c r="D80" s="35">
        <f t="shared" si="44"/>
        <v>-0.46328174189397275</v>
      </c>
      <c r="E80" s="35">
        <f t="shared" si="44"/>
        <v>-0.87022126320748239</v>
      </c>
      <c r="F80" s="35">
        <f>IF(AND(F$5-D$5 &lt;&gt; 0,F28 &lt;&gt; 0,D28 &lt;&gt; 0),(EXP(LN(F28/D28)/(F$5-D$5))-1)*100,0)</f>
        <v>-0.73475994895060293</v>
      </c>
      <c r="H80" s="35">
        <f>(B28/B$51)*100</f>
        <v>12.124868521552321</v>
      </c>
      <c r="I80" s="35">
        <f>(C28/C$51)*100</f>
        <v>12.145935567296101</v>
      </c>
      <c r="J80" s="35">
        <f>(D28/D$51)*100</f>
        <v>10.526698649933895</v>
      </c>
      <c r="K80" s="35">
        <f>(E28/E$51)*100</f>
        <v>10.043548042439408</v>
      </c>
      <c r="L80" s="35">
        <f>(F28/F$51)*100</f>
        <v>8.9593756663077997</v>
      </c>
    </row>
    <row r="81" spans="1:12">
      <c r="A81" t="str">
        <f>A29</f>
        <v>51 Skilled agricultural and related trades</v>
      </c>
      <c r="B81" s="370">
        <f t="shared" si="44"/>
        <v>-3.1768746082801003</v>
      </c>
      <c r="C81" s="35">
        <f t="shared" si="44"/>
        <v>-16.115367966831041</v>
      </c>
      <c r="D81" s="370">
        <f t="shared" si="44"/>
        <v>-9.2963988318128798E-2</v>
      </c>
      <c r="E81" s="370">
        <f t="shared" si="44"/>
        <v>1.0692981736385443</v>
      </c>
      <c r="F81" s="35">
        <f>IF(AND(F$5-D$5 &lt;&gt; 0,F29 &lt;&gt; 0,D29 &lt;&gt; 0),(EXP(LN(F29/D29)/(F$5-D$5))-1)*100,0)</f>
        <v>0.6803828236388032</v>
      </c>
      <c r="H81" s="31">
        <f t="shared" ref="H81:L84" si="45">(B29/B$28)*100</f>
        <v>7.0659148183522831</v>
      </c>
      <c r="I81" s="31">
        <f t="shared" si="45"/>
        <v>6.1460184605486985</v>
      </c>
      <c r="J81" s="31">
        <f t="shared" si="45"/>
        <v>6.1132893614060082</v>
      </c>
      <c r="K81" s="31">
        <f t="shared" si="45"/>
        <v>6.2278585072364594</v>
      </c>
      <c r="L81" s="31">
        <f t="shared" si="45"/>
        <v>7.5594442529882784</v>
      </c>
    </row>
    <row r="82" spans="1:12">
      <c r="A82" t="str">
        <f>A30</f>
        <v>52 Skilled metal, electrical and electronic trades</v>
      </c>
      <c r="B82" s="370">
        <f t="shared" si="44"/>
        <v>-0.24461951394744164</v>
      </c>
      <c r="C82" s="35">
        <f t="shared" si="44"/>
        <v>-18.017486150227302</v>
      </c>
      <c r="D82" s="370">
        <f t="shared" si="44"/>
        <v>-0.5331607328017407</v>
      </c>
      <c r="E82" s="370">
        <f t="shared" si="44"/>
        <v>-0.81744418681882758</v>
      </c>
      <c r="F82" s="35">
        <f>IF(AND(F$5-D$5 &lt;&gt; 0,F30 &lt;&gt; 0,D30 &lt;&gt; 0),(EXP(LN(F30/D30)/(F$5-D$5))-1)*100,0)</f>
        <v>-0.72277342843283243</v>
      </c>
      <c r="H82" s="31">
        <f t="shared" si="45"/>
        <v>46.693755101531934</v>
      </c>
      <c r="I82" s="31">
        <f t="shared" si="45"/>
        <v>45.762863612015401</v>
      </c>
      <c r="J82" s="31">
        <f t="shared" si="45"/>
        <v>44.486999221355831</v>
      </c>
      <c r="K82" s="31">
        <f t="shared" si="45"/>
        <v>44.331059541791404</v>
      </c>
      <c r="L82" s="31">
        <f t="shared" si="45"/>
        <v>44.567646076967335</v>
      </c>
    </row>
    <row r="83" spans="1:12">
      <c r="A83" t="str">
        <f>A31</f>
        <v>53 Skilled construction and building trades</v>
      </c>
      <c r="B83" s="370">
        <f t="shared" si="44"/>
        <v>3.3897609176739563</v>
      </c>
      <c r="C83" s="35">
        <f t="shared" si="44"/>
        <v>-18.11698135541614</v>
      </c>
      <c r="D83" s="370">
        <f t="shared" si="44"/>
        <v>-0.76746755060049798</v>
      </c>
      <c r="E83" s="370">
        <f t="shared" si="44"/>
        <v>-1.5363216021304082</v>
      </c>
      <c r="F83" s="35">
        <f>IF(AND(F$5-D$5 &lt;&gt; 0,F31 &lt;&gt; 0,D31 &lt;&gt; 0),(EXP(LN(F31/D31)/(F$5-D$5))-1)*100,0)</f>
        <v>-1.2807011061727547</v>
      </c>
      <c r="H83" s="31">
        <f t="shared" si="45"/>
        <v>30.466587547034635</v>
      </c>
      <c r="I83" s="31">
        <f t="shared" si="45"/>
        <v>34.454266690374233</v>
      </c>
      <c r="J83" s="31">
        <f t="shared" si="45"/>
        <v>33.453036495372132</v>
      </c>
      <c r="K83" s="31">
        <f t="shared" si="45"/>
        <v>32.94498613706584</v>
      </c>
      <c r="L83" s="31">
        <f t="shared" si="45"/>
        <v>30.79700771361642</v>
      </c>
    </row>
    <row r="84" spans="1:12">
      <c r="A84" t="str">
        <f>A32</f>
        <v>54 Textiles, printing and other skilled trades</v>
      </c>
      <c r="B84" s="370">
        <f t="shared" si="44"/>
        <v>-3.3242454604982097</v>
      </c>
      <c r="C84" s="35">
        <f t="shared" si="44"/>
        <v>-1.3817368318814527</v>
      </c>
      <c r="D84" s="370">
        <f t="shared" si="44"/>
        <v>0.21333696076419884</v>
      </c>
      <c r="E84" s="370">
        <f t="shared" si="44"/>
        <v>-0.52719033089673184</v>
      </c>
      <c r="F84" s="35">
        <f>IF(AND(F$5-D$5 &lt;&gt; 0,F32 &lt;&gt; 0,D32 &lt;&gt; 0),(EXP(LN(F32/D32)/(F$5-D$5))-1)*100,0)</f>
        <v>-0.28095792058610014</v>
      </c>
      <c r="H84" s="31">
        <f t="shared" si="45"/>
        <v>15.773742533081144</v>
      </c>
      <c r="I84" s="31">
        <f t="shared" si="45"/>
        <v>13.636851237061679</v>
      </c>
      <c r="J84" s="31">
        <f t="shared" si="45"/>
        <v>15.946674921866022</v>
      </c>
      <c r="K84" s="31">
        <f t="shared" si="45"/>
        <v>16.496095813906305</v>
      </c>
      <c r="L84" s="31">
        <f t="shared" si="45"/>
        <v>17.075901956427959</v>
      </c>
    </row>
    <row r="85" spans="1:12">
      <c r="A85" s="25"/>
      <c r="B85" s="31"/>
      <c r="C85" s="35"/>
      <c r="D85" s="31"/>
      <c r="E85" s="31"/>
      <c r="F85" s="35"/>
      <c r="H85" s="31"/>
      <c r="I85" s="31"/>
      <c r="J85" s="31"/>
      <c r="K85" s="31"/>
      <c r="L85" s="31"/>
    </row>
    <row r="86" spans="1:12" s="25" customFormat="1">
      <c r="A86" s="25" t="str">
        <f>A34</f>
        <v>Caring, leisure and other service occupations</v>
      </c>
      <c r="B86" s="35">
        <f t="shared" ref="B86:E89" si="46">IF(AND(C$5-B$5 &lt;&gt; 0,C34 &lt;&gt; 0,B34 &lt;&gt; 0),(EXP(LN(C34/B34)/(C$5-B$5))-1)*100,0)</f>
        <v>0.48162865360097395</v>
      </c>
      <c r="C86" s="35">
        <f t="shared" si="46"/>
        <v>-4.1194100247277321</v>
      </c>
      <c r="D86" s="35">
        <f t="shared" si="46"/>
        <v>0.38598983071498338</v>
      </c>
      <c r="E86" s="35">
        <f t="shared" si="46"/>
        <v>0.69782059897185444</v>
      </c>
      <c r="F86" s="35">
        <f>IF(AND(F$5-D$5 &lt;&gt; 0,F34 &lt;&gt; 0,D34 &lt;&gt; 0),(EXP(LN(F34/D34)/(F$5-D$5))-1)*100,0)</f>
        <v>0.5937695306053703</v>
      </c>
      <c r="H86" s="35">
        <f>(B34/B$51)*100</f>
        <v>9.9845701671974023</v>
      </c>
      <c r="I86" s="35">
        <f>(C34/C$51)*100</f>
        <v>10.0911124272574</v>
      </c>
      <c r="J86" s="35">
        <f>(D34/D$51)*100</f>
        <v>9.9432795290016358</v>
      </c>
      <c r="K86" s="35">
        <f>(E34/E$51)*100</f>
        <v>9.8985950582185183</v>
      </c>
      <c r="L86" s="35">
        <f>(F34/F$51)*100</f>
        <v>10.330551042017369</v>
      </c>
    </row>
    <row r="87" spans="1:12">
      <c r="A87" t="str">
        <f>A35</f>
        <v>61 Caring personal service occupations</v>
      </c>
      <c r="B87" s="370">
        <f t="shared" si="46"/>
        <v>1.5911233789775325</v>
      </c>
      <c r="C87" s="35">
        <f t="shared" si="46"/>
        <v>-3.2946756072271932</v>
      </c>
      <c r="D87" s="370">
        <f t="shared" si="46"/>
        <v>0.87416262505255471</v>
      </c>
      <c r="E87" s="370">
        <f t="shared" si="46"/>
        <v>0.84840468771609778</v>
      </c>
      <c r="F87" s="35">
        <f>IF(AND(F$5-D$5 &lt;&gt; 0,F35 &lt;&gt; 0,D35 &lt;&gt; 0),(EXP(LN(F35/D35)/(F$5-D$5))-1)*100,0)</f>
        <v>0.85698993594331974</v>
      </c>
      <c r="H87" s="31">
        <f t="shared" ref="H87:L89" si="47">(B35/B$34)*100</f>
        <v>76.368079588883816</v>
      </c>
      <c r="I87" s="31">
        <f t="shared" si="47"/>
        <v>79.797311163089717</v>
      </c>
      <c r="J87" s="31">
        <f t="shared" si="47"/>
        <v>80.483702318558954</v>
      </c>
      <c r="K87" s="31">
        <f t="shared" si="47"/>
        <v>82.459772260200708</v>
      </c>
      <c r="L87" s="31">
        <f t="shared" si="47"/>
        <v>83.70121150691827</v>
      </c>
    </row>
    <row r="88" spans="1:12">
      <c r="A88" t="str">
        <f>A36</f>
        <v>62 Leisure, travel and related personal service occupations</v>
      </c>
      <c r="B88" s="370">
        <f t="shared" si="46"/>
        <v>-3.3280468770378491</v>
      </c>
      <c r="C88" s="35">
        <f t="shared" si="46"/>
        <v>-8.43974979631823</v>
      </c>
      <c r="D88" s="370">
        <f t="shared" si="46"/>
        <v>-1.5748271236748157</v>
      </c>
      <c r="E88" s="370">
        <f t="shared" si="46"/>
        <v>-8.0715107663675845E-2</v>
      </c>
      <c r="F88" s="35">
        <f>IF(AND(F$5-D$5 &lt;&gt; 0,F36 &lt;&gt; 0,D36 &lt;&gt; 0),(EXP(LN(F36/D36)/(F$5-D$5))-1)*100,0)</f>
        <v>-0.58125569202476246</v>
      </c>
      <c r="H88" s="31">
        <f t="shared" si="47"/>
        <v>22.74704161878163</v>
      </c>
      <c r="I88" s="31">
        <f t="shared" si="47"/>
        <v>19.488581580730084</v>
      </c>
      <c r="J88" s="31">
        <f t="shared" si="47"/>
        <v>18.610434146334565</v>
      </c>
      <c r="K88" s="31">
        <f t="shared" si="47"/>
        <v>16.862497871515746</v>
      </c>
      <c r="L88" s="31">
        <f t="shared" si="47"/>
        <v>15.603224871573399</v>
      </c>
    </row>
    <row r="89" spans="1:12">
      <c r="A89" t="str">
        <f>A37</f>
        <v>63 Community and civil enforcement occupations</v>
      </c>
      <c r="B89" s="370">
        <f t="shared" si="46"/>
        <v>-4.7628083290662921</v>
      </c>
      <c r="C89" s="35">
        <f t="shared" si="46"/>
        <v>21.627009712358291</v>
      </c>
      <c r="D89" s="370">
        <f t="shared" si="46"/>
        <v>-5.2734162135968372</v>
      </c>
      <c r="E89" s="370">
        <f t="shared" si="46"/>
        <v>0.95971005104840135</v>
      </c>
      <c r="F89" s="35">
        <f>IF(AND(F$5-D$5 &lt;&gt; 0,F37 &lt;&gt; 0,D37 &lt;&gt; 0),(EXP(LN(F37/D37)/(F$5-D$5))-1)*100,0)</f>
        <v>-1.1622869012287262</v>
      </c>
      <c r="H89" s="31">
        <f t="shared" si="47"/>
        <v>0.88487879233455269</v>
      </c>
      <c r="I89" s="31">
        <f t="shared" si="47"/>
        <v>0.71410725618020154</v>
      </c>
      <c r="J89" s="31">
        <f t="shared" si="47"/>
        <v>0.90586353510647821</v>
      </c>
      <c r="K89" s="31">
        <f t="shared" si="47"/>
        <v>0.67772986828353932</v>
      </c>
      <c r="L89" s="31">
        <f t="shared" si="47"/>
        <v>0.69556362150832707</v>
      </c>
    </row>
    <row r="90" spans="1:12">
      <c r="B90" s="31"/>
      <c r="C90" s="35"/>
      <c r="D90" s="31"/>
      <c r="E90" s="31"/>
      <c r="F90" s="35"/>
      <c r="H90" s="31"/>
      <c r="I90" s="31"/>
      <c r="J90" s="31"/>
      <c r="K90" s="31"/>
      <c r="L90" s="31"/>
    </row>
    <row r="91" spans="1:12" s="25" customFormat="1">
      <c r="A91" s="25" t="str">
        <f>A39</f>
        <v>Sales and customer service occupations</v>
      </c>
      <c r="B91" s="35">
        <f t="shared" ref="B91:E93" si="48">IF(AND(C$5-B$5 &lt;&gt; 0,C39 &lt;&gt; 0,B39 &lt;&gt; 0),(EXP(LN(C39/B39)/(C$5-B$5))-1)*100,0)</f>
        <v>-2.2251102304149506</v>
      </c>
      <c r="C91" s="35">
        <f t="shared" si="48"/>
        <v>-0.61759726767566248</v>
      </c>
      <c r="D91" s="35">
        <f t="shared" si="48"/>
        <v>1.6609776204212778E-2</v>
      </c>
      <c r="E91" s="35">
        <f t="shared" si="48"/>
        <v>-7.4254991029398809E-2</v>
      </c>
      <c r="F91" s="35">
        <f t="shared" ref="F91:F93" si="49">IF(AND(F$5-D$5 &lt;&gt; 0,F39 &lt;&gt; 0,D39 &lt;&gt; 0),(EXP(LN(F39/D39)/(F$5-D$5))-1)*100,0)</f>
        <v>-4.3975911251237232E-2</v>
      </c>
      <c r="H91" s="35">
        <f>(B39/B$51)*100</f>
        <v>8.5671966726316882</v>
      </c>
      <c r="I91" s="35">
        <f>(C39/C$51)*100</f>
        <v>7.7626693085705707</v>
      </c>
      <c r="J91" s="35">
        <f>(D39/D$51)*100</f>
        <v>7.9283074645790057</v>
      </c>
      <c r="K91" s="35">
        <f>(E39/E$51)*100</f>
        <v>7.7485334498117693</v>
      </c>
      <c r="L91" s="35">
        <f>(F39/F$51)*100</f>
        <v>7.4876007395524455</v>
      </c>
    </row>
    <row r="92" spans="1:12" s="25" customFormat="1">
      <c r="A92" t="str">
        <f>A40</f>
        <v>71 Sales occupations</v>
      </c>
      <c r="B92" s="370">
        <f t="shared" si="48"/>
        <v>-2.651182269893948</v>
      </c>
      <c r="C92" s="35">
        <f t="shared" si="48"/>
        <v>-1.578970408577518</v>
      </c>
      <c r="D92" s="370">
        <f t="shared" si="48"/>
        <v>-0.69526966492304831</v>
      </c>
      <c r="E92" s="370">
        <f t="shared" si="48"/>
        <v>-0.49005777806445661</v>
      </c>
      <c r="F92" s="35">
        <f t="shared" si="49"/>
        <v>-0.55850881574924793</v>
      </c>
      <c r="G92"/>
      <c r="H92" s="31">
        <f>(B40/B$34)*100</f>
        <v>67.799179043710936</v>
      </c>
      <c r="I92" s="31">
        <f t="shared" ref="H92:L93" si="50">(C40/C$34)*100</f>
        <v>59.731098038661926</v>
      </c>
      <c r="J92" s="31">
        <f t="shared" si="50"/>
        <v>61.313725427716413</v>
      </c>
      <c r="K92" s="31">
        <f t="shared" si="50"/>
        <v>58.082039620369173</v>
      </c>
      <c r="L92" s="31">
        <f t="shared" si="50"/>
        <v>51.582915750899303</v>
      </c>
    </row>
    <row r="93" spans="1:12" s="25" customFormat="1">
      <c r="A93" t="str">
        <f>A41</f>
        <v>72 Customer service occupations</v>
      </c>
      <c r="B93" s="370">
        <f t="shared" si="48"/>
        <v>-0.66873433519801795</v>
      </c>
      <c r="C93" s="35">
        <f t="shared" si="48"/>
        <v>2.7220280449508527</v>
      </c>
      <c r="D93" s="370">
        <f t="shared" si="48"/>
        <v>2.2504702823146205</v>
      </c>
      <c r="E93" s="370">
        <f t="shared" si="48"/>
        <v>1.0415785798042476</v>
      </c>
      <c r="F93" s="35">
        <f t="shared" si="49"/>
        <v>1.4429460177838527</v>
      </c>
      <c r="G93"/>
      <c r="H93" s="31">
        <f t="shared" si="50"/>
        <v>18.005182377652478</v>
      </c>
      <c r="I93" s="31">
        <f t="shared" si="50"/>
        <v>17.194705380221777</v>
      </c>
      <c r="J93" s="31">
        <f t="shared" si="50"/>
        <v>18.42161180638681</v>
      </c>
      <c r="K93" s="31">
        <f t="shared" si="50"/>
        <v>20.197083873811813</v>
      </c>
      <c r="L93" s="31">
        <f t="shared" si="50"/>
        <v>20.897252142354269</v>
      </c>
    </row>
    <row r="94" spans="1:12">
      <c r="C94" s="35"/>
      <c r="F94" s="35"/>
    </row>
    <row r="95" spans="1:12" s="25" customFormat="1">
      <c r="A95" s="25" t="str">
        <f>A43</f>
        <v>Process, plant and machine operatives</v>
      </c>
      <c r="B95" s="35">
        <f t="shared" ref="B95:E97" si="51">IF(AND(C$5-B$5 &lt;&gt; 0,C43 &lt;&gt; 0,B43 &lt;&gt; 0),(EXP(LN(C43/B43)/(C$5-B$5))-1)*100,0)</f>
        <v>-0.30271188587898124</v>
      </c>
      <c r="C95" s="35">
        <f t="shared" si="51"/>
        <v>-13.342849743023999</v>
      </c>
      <c r="D95" s="35">
        <f t="shared" si="51"/>
        <v>0.66984900938593661</v>
      </c>
      <c r="E95" s="35">
        <f t="shared" si="51"/>
        <v>-0.37249668122506518</v>
      </c>
      <c r="F95" s="35">
        <f>IF(AND(F$5-D$5 &lt;&gt; 0,F43 &lt;&gt; 0,D43 &lt;&gt; 0),(EXP(LN(F43/D43)/(F$5-D$5))-1)*100,0)</f>
        <v>-2.6252842027107981E-2</v>
      </c>
      <c r="H95" s="35">
        <f>(B43/B$51)*100</f>
        <v>9.3244120522857958</v>
      </c>
      <c r="I95" s="35">
        <f>(C43/C$51)*100</f>
        <v>9.1330922900737441</v>
      </c>
      <c r="J95" s="35">
        <f>(D43/D$51)*100</f>
        <v>8.1335877310080456</v>
      </c>
      <c r="K95" s="35">
        <f>(E43/E$51)*100</f>
        <v>8.2121641743469684</v>
      </c>
      <c r="L95" s="35">
        <f>(F43/F$51)*100</f>
        <v>7.701925442692974</v>
      </c>
    </row>
    <row r="96" spans="1:12">
      <c r="A96" t="str">
        <f>A44</f>
        <v>81 Process, plant and machine operatives</v>
      </c>
      <c r="B96" s="370">
        <f t="shared" si="51"/>
        <v>-1.4209112760451226</v>
      </c>
      <c r="C96" s="35">
        <f t="shared" si="51"/>
        <v>-15.430500051384378</v>
      </c>
      <c r="D96" s="370">
        <f t="shared" si="51"/>
        <v>0.64988472179161594</v>
      </c>
      <c r="E96" s="370">
        <f t="shared" si="51"/>
        <v>-0.80466339991328573</v>
      </c>
      <c r="F96" s="35">
        <f>IF(AND(F$5-D$5 &lt;&gt; 0,F44 &lt;&gt; 0,D44 &lt;&gt; 0),(EXP(LN(F44/D44)/(F$5-D$5))-1)*100,0)</f>
        <v>-0.32216476551590878</v>
      </c>
      <c r="H96" s="31">
        <f>(B44/B$43)*100</f>
        <v>48.827626085157839</v>
      </c>
      <c r="I96" s="31">
        <f t="shared" ref="H96:L97" si="52">(C44/C$43)*100</f>
        <v>46.673613578909517</v>
      </c>
      <c r="J96" s="31">
        <f t="shared" si="52"/>
        <v>45.549203377427503</v>
      </c>
      <c r="K96" s="31">
        <f t="shared" si="52"/>
        <v>45.504055957473696</v>
      </c>
      <c r="L96" s="31">
        <f t="shared" si="52"/>
        <v>43.56825778970331</v>
      </c>
    </row>
    <row r="97" spans="1:12">
      <c r="A97" t="str">
        <f>A45</f>
        <v>82 Transport and mobile machine drivers and operatives</v>
      </c>
      <c r="B97" s="370">
        <f t="shared" si="51"/>
        <v>0.73026879235229547</v>
      </c>
      <c r="C97" s="35">
        <f t="shared" si="51"/>
        <v>-11.515645795415653</v>
      </c>
      <c r="D97" s="370">
        <f t="shared" si="51"/>
        <v>0.68653738717692203</v>
      </c>
      <c r="E97" s="370">
        <f t="shared" si="51"/>
        <v>-2.4133988329189116E-2</v>
      </c>
      <c r="F97" s="35">
        <f>IF(AND(F$5-D$5 &lt;&gt; 0,F45 &lt;&gt; 0,D45 &lt;&gt; 0),(EXP(LN(F45/D45)/(F$5-D$5))-1)*100,0)</f>
        <v>0.2121973700340174</v>
      </c>
      <c r="H97" s="31">
        <f t="shared" si="52"/>
        <v>51.172373914842161</v>
      </c>
      <c r="I97" s="31">
        <f t="shared" si="52"/>
        <v>53.32638642109049</v>
      </c>
      <c r="J97" s="31">
        <f t="shared" si="52"/>
        <v>54.450796622572504</v>
      </c>
      <c r="K97" s="31">
        <f t="shared" si="52"/>
        <v>54.49594404252629</v>
      </c>
      <c r="L97" s="31">
        <f t="shared" si="52"/>
        <v>56.43174221029669</v>
      </c>
    </row>
    <row r="98" spans="1:12">
      <c r="C98" s="35"/>
      <c r="F98" s="35"/>
    </row>
    <row r="99" spans="1:12" s="25" customFormat="1">
      <c r="A99" s="25" t="str">
        <f>A47</f>
        <v>Elementary occupations</v>
      </c>
      <c r="B99" s="35">
        <f t="shared" ref="B99:E101" si="53">IF(AND(C$5-B$5 &lt;&gt; 0,C47 &lt;&gt; 0,B47 &lt;&gt; 0),(EXP(LN(C47/B47)/(C$5-B$5))-1)*100,0)</f>
        <v>-2.4408874684440196</v>
      </c>
      <c r="C99" s="35">
        <f t="shared" si="53"/>
        <v>-10.295011585911062</v>
      </c>
      <c r="D99" s="35">
        <f t="shared" si="53"/>
        <v>0.82781187940927925</v>
      </c>
      <c r="E99" s="35">
        <f t="shared" si="53"/>
        <v>-0.4780116429422443</v>
      </c>
      <c r="F99" s="35">
        <f>IF(AND(F$5-D$5 &lt;&gt; 0,F47 &lt;&gt; 0,D47 &lt;&gt; 0),(EXP(LN(F47/D47)/(F$5-D$5))-1)*100,0)</f>
        <v>-4.462711763347782E-2</v>
      </c>
      <c r="H99" s="35">
        <f>(B47/B$51)*100</f>
        <v>11.266657366268603</v>
      </c>
      <c r="I99" s="35">
        <f>(C47/C$51)*100</f>
        <v>10.118810428679199</v>
      </c>
      <c r="J99" s="35">
        <f>(D47/D$51)*100</f>
        <v>9.3283742250192176</v>
      </c>
      <c r="K99" s="35">
        <f>(E47/E$51)*100</f>
        <v>9.4926190799642018</v>
      </c>
      <c r="L99" s="35">
        <f>(F47/F$51)*100</f>
        <v>8.8089818201452363</v>
      </c>
    </row>
    <row r="100" spans="1:12">
      <c r="A100" t="str">
        <f>A48</f>
        <v>91 Elementary trades and related occupations</v>
      </c>
      <c r="B100" s="370">
        <f t="shared" si="53"/>
        <v>-3.8155053733908484</v>
      </c>
      <c r="C100" s="35">
        <f t="shared" si="53"/>
        <v>-12.552287827128673</v>
      </c>
      <c r="D100" s="370">
        <f t="shared" si="53"/>
        <v>11.789413787200198</v>
      </c>
      <c r="E100" s="370">
        <f t="shared" si="53"/>
        <v>0.9486200430991909</v>
      </c>
      <c r="F100" s="35">
        <f>IF(AND(F$5-D$5 &lt;&gt; 0,F48 &lt;&gt; 0,D48 &lt;&gt; 0),(EXP(LN(F48/D48)/(F$5-D$5))-1)*100,0)</f>
        <v>4.4400691329606889</v>
      </c>
      <c r="H100" s="31">
        <f t="shared" ref="H100:L101" si="54">(B48/B$47)*100</f>
        <v>20.167584306123715</v>
      </c>
      <c r="I100" s="31">
        <f t="shared" si="54"/>
        <v>19.054729455011028</v>
      </c>
      <c r="J100" s="31">
        <f t="shared" si="54"/>
        <v>18.575249006464752</v>
      </c>
      <c r="K100" s="31">
        <f t="shared" si="54"/>
        <v>31.119766234259714</v>
      </c>
      <c r="L100" s="31">
        <f t="shared" si="54"/>
        <v>35.879778165114182</v>
      </c>
    </row>
    <row r="101" spans="1:12">
      <c r="A101" t="str">
        <f>A49</f>
        <v>92 Elementary administration and service occupations</v>
      </c>
      <c r="B101" s="370">
        <f t="shared" si="53"/>
        <v>-2.1026596902286032</v>
      </c>
      <c r="C101" s="35">
        <f t="shared" si="53"/>
        <v>-9.7636428253641494</v>
      </c>
      <c r="D101" s="370">
        <f t="shared" si="53"/>
        <v>-2.4902647967316005</v>
      </c>
      <c r="E101" s="370">
        <f t="shared" si="53"/>
        <v>-1.1881376702847057</v>
      </c>
      <c r="F101" s="35">
        <f>IF(AND(F$5-D$5 &lt;&gt; 0,F49 &lt;&gt; 0,D49 &lt;&gt; 0),(EXP(LN(F49/D49)/(F$5-D$5))-1)*100,0)</f>
        <v>-1.6241007083510617</v>
      </c>
      <c r="H101" s="31">
        <f t="shared" si="54"/>
        <v>79.832415693876285</v>
      </c>
      <c r="I101" s="31">
        <f t="shared" si="54"/>
        <v>80.945270544988972</v>
      </c>
      <c r="J101" s="31">
        <f t="shared" si="54"/>
        <v>81.424750993535255</v>
      </c>
      <c r="K101" s="31">
        <f t="shared" si="54"/>
        <v>68.880233765740272</v>
      </c>
      <c r="L101" s="31">
        <f t="shared" si="54"/>
        <v>64.120221834885811</v>
      </c>
    </row>
    <row r="102" spans="1:12">
      <c r="A102" s="65"/>
      <c r="C102" s="35"/>
      <c r="F102" s="35"/>
    </row>
    <row r="103" spans="1:12">
      <c r="A103" s="364" t="str">
        <f t="shared" ref="A103" si="55">A51</f>
        <v>All occupations</v>
      </c>
      <c r="B103" s="371">
        <f>IF(AND(C$5-B$5 &lt;&gt; 0,C51 &lt;&gt; 0,B51 &lt;&gt; 0),(EXP(LN(C51/B51)/(C$5-B$5))-1)*100,0)</f>
        <v>0.21535006256827582</v>
      </c>
      <c r="C103" s="183">
        <f t="shared" ref="C103" si="56">IF(AND(D$5-C$5 &lt;&gt; 0,D51 &lt;&gt; 0,C51 &lt;&gt; 0),(EXP(LN(D51/C51)/(D$5-C$5))-1)*100,0)</f>
        <v>-2.6938938797602008</v>
      </c>
      <c r="D103" s="371">
        <f>IF(AND(E$5-D$5 &lt;&gt; 0,E51 &lt;&gt; 0,D51 &lt;&gt; 0),(EXP(LN(E51/D51)/(E$5-D$5))-1)*100,0)</f>
        <v>0.47645957720003906</v>
      </c>
      <c r="E103" s="371">
        <f>IF(AND(F$5-E$5 &lt;&gt; 0,F51 &lt;&gt; 0,E51 &lt;&gt; 0),(EXP(LN(F51/E51)/(F$5-E$5))-1)*100,0)</f>
        <v>0.26862934467042354</v>
      </c>
      <c r="F103" s="183">
        <f>IF(AND(F$5-D$5 &lt;&gt; 0,F51 &lt;&gt; 0,D51 &lt;&gt; 0),(EXP(LN(F51/D51)/(F$5-D$5))-1)*100,0)</f>
        <v>0.33785827979151417</v>
      </c>
      <c r="G103" s="22"/>
      <c r="H103" s="34">
        <f>(B51/B$51)*100</f>
        <v>100</v>
      </c>
      <c r="I103" s="34">
        <f>(C51/C$51)*100</f>
        <v>100</v>
      </c>
      <c r="J103" s="34">
        <f>(D51/D$51)*100</f>
        <v>100</v>
      </c>
      <c r="K103" s="34">
        <f>(E51/E$51)*100</f>
        <v>100</v>
      </c>
      <c r="L103" s="34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/>
  <cols>
    <col min="1" max="1" width="35.5703125" style="73" customWidth="1"/>
    <col min="2" max="13" width="5.7109375" style="73" customWidth="1"/>
    <col min="14" max="15" width="7.7109375" style="73" customWidth="1"/>
    <col min="16" max="16" width="5.7109375" style="73" customWidth="1"/>
    <col min="17" max="18" width="7.7109375" style="73" customWidth="1"/>
    <col min="19" max="19" width="5.7109375" style="73" customWidth="1"/>
    <col min="20" max="21" width="7.7109375" style="73" customWidth="1"/>
    <col min="22" max="254" width="9.140625" style="73"/>
    <col min="255" max="255" width="33.140625" style="73" bestFit="1" customWidth="1"/>
    <col min="256" max="258" width="7.140625" style="73" customWidth="1"/>
    <col min="259" max="259" width="5" style="73" customWidth="1"/>
    <col min="260" max="262" width="7.140625" style="73" customWidth="1"/>
    <col min="263" max="263" width="5" style="73" customWidth="1"/>
    <col min="264" max="266" width="7.140625" style="73" customWidth="1"/>
    <col min="267" max="510" width="9.140625" style="73"/>
    <col min="511" max="511" width="33.140625" style="73" bestFit="1" customWidth="1"/>
    <col min="512" max="514" width="7.140625" style="73" customWidth="1"/>
    <col min="515" max="515" width="5" style="73" customWidth="1"/>
    <col min="516" max="518" width="7.140625" style="73" customWidth="1"/>
    <col min="519" max="519" width="5" style="73" customWidth="1"/>
    <col min="520" max="522" width="7.140625" style="73" customWidth="1"/>
    <col min="523" max="766" width="9.140625" style="73"/>
    <col min="767" max="767" width="33.140625" style="73" bestFit="1" customWidth="1"/>
    <col min="768" max="770" width="7.140625" style="73" customWidth="1"/>
    <col min="771" max="771" width="5" style="73" customWidth="1"/>
    <col min="772" max="774" width="7.140625" style="73" customWidth="1"/>
    <col min="775" max="775" width="5" style="73" customWidth="1"/>
    <col min="776" max="778" width="7.140625" style="73" customWidth="1"/>
    <col min="779" max="1022" width="9.140625" style="73"/>
    <col min="1023" max="1023" width="33.140625" style="73" bestFit="1" customWidth="1"/>
    <col min="1024" max="1026" width="7.140625" style="73" customWidth="1"/>
    <col min="1027" max="1027" width="5" style="73" customWidth="1"/>
    <col min="1028" max="1030" width="7.140625" style="73" customWidth="1"/>
    <col min="1031" max="1031" width="5" style="73" customWidth="1"/>
    <col min="1032" max="1034" width="7.140625" style="73" customWidth="1"/>
    <col min="1035" max="1278" width="9.140625" style="73"/>
    <col min="1279" max="1279" width="33.140625" style="73" bestFit="1" customWidth="1"/>
    <col min="1280" max="1282" width="7.140625" style="73" customWidth="1"/>
    <col min="1283" max="1283" width="5" style="73" customWidth="1"/>
    <col min="1284" max="1286" width="7.140625" style="73" customWidth="1"/>
    <col min="1287" max="1287" width="5" style="73" customWidth="1"/>
    <col min="1288" max="1290" width="7.140625" style="73" customWidth="1"/>
    <col min="1291" max="1534" width="9.140625" style="73"/>
    <col min="1535" max="1535" width="33.140625" style="73" bestFit="1" customWidth="1"/>
    <col min="1536" max="1538" width="7.140625" style="73" customWidth="1"/>
    <col min="1539" max="1539" width="5" style="73" customWidth="1"/>
    <col min="1540" max="1542" width="7.140625" style="73" customWidth="1"/>
    <col min="1543" max="1543" width="5" style="73" customWidth="1"/>
    <col min="1544" max="1546" width="7.140625" style="73" customWidth="1"/>
    <col min="1547" max="1790" width="9.140625" style="73"/>
    <col min="1791" max="1791" width="33.140625" style="73" bestFit="1" customWidth="1"/>
    <col min="1792" max="1794" width="7.140625" style="73" customWidth="1"/>
    <col min="1795" max="1795" width="5" style="73" customWidth="1"/>
    <col min="1796" max="1798" width="7.140625" style="73" customWidth="1"/>
    <col min="1799" max="1799" width="5" style="73" customWidth="1"/>
    <col min="1800" max="1802" width="7.140625" style="73" customWidth="1"/>
    <col min="1803" max="2046" width="9.140625" style="73"/>
    <col min="2047" max="2047" width="33.140625" style="73" bestFit="1" customWidth="1"/>
    <col min="2048" max="2050" width="7.140625" style="73" customWidth="1"/>
    <col min="2051" max="2051" width="5" style="73" customWidth="1"/>
    <col min="2052" max="2054" width="7.140625" style="73" customWidth="1"/>
    <col min="2055" max="2055" width="5" style="73" customWidth="1"/>
    <col min="2056" max="2058" width="7.140625" style="73" customWidth="1"/>
    <col min="2059" max="2302" width="9.140625" style="73"/>
    <col min="2303" max="2303" width="33.140625" style="73" bestFit="1" customWidth="1"/>
    <col min="2304" max="2306" width="7.140625" style="73" customWidth="1"/>
    <col min="2307" max="2307" width="5" style="73" customWidth="1"/>
    <col min="2308" max="2310" width="7.140625" style="73" customWidth="1"/>
    <col min="2311" max="2311" width="5" style="73" customWidth="1"/>
    <col min="2312" max="2314" width="7.140625" style="73" customWidth="1"/>
    <col min="2315" max="2558" width="9.140625" style="73"/>
    <col min="2559" max="2559" width="33.140625" style="73" bestFit="1" customWidth="1"/>
    <col min="2560" max="2562" width="7.140625" style="73" customWidth="1"/>
    <col min="2563" max="2563" width="5" style="73" customWidth="1"/>
    <col min="2564" max="2566" width="7.140625" style="73" customWidth="1"/>
    <col min="2567" max="2567" width="5" style="73" customWidth="1"/>
    <col min="2568" max="2570" width="7.140625" style="73" customWidth="1"/>
    <col min="2571" max="2814" width="9.140625" style="73"/>
    <col min="2815" max="2815" width="33.140625" style="73" bestFit="1" customWidth="1"/>
    <col min="2816" max="2818" width="7.140625" style="73" customWidth="1"/>
    <col min="2819" max="2819" width="5" style="73" customWidth="1"/>
    <col min="2820" max="2822" width="7.140625" style="73" customWidth="1"/>
    <col min="2823" max="2823" width="5" style="73" customWidth="1"/>
    <col min="2824" max="2826" width="7.140625" style="73" customWidth="1"/>
    <col min="2827" max="3070" width="9.140625" style="73"/>
    <col min="3071" max="3071" width="33.140625" style="73" bestFit="1" customWidth="1"/>
    <col min="3072" max="3074" width="7.140625" style="73" customWidth="1"/>
    <col min="3075" max="3075" width="5" style="73" customWidth="1"/>
    <col min="3076" max="3078" width="7.140625" style="73" customWidth="1"/>
    <col min="3079" max="3079" width="5" style="73" customWidth="1"/>
    <col min="3080" max="3082" width="7.140625" style="73" customWidth="1"/>
    <col min="3083" max="3326" width="9.140625" style="73"/>
    <col min="3327" max="3327" width="33.140625" style="73" bestFit="1" customWidth="1"/>
    <col min="3328" max="3330" width="7.140625" style="73" customWidth="1"/>
    <col min="3331" max="3331" width="5" style="73" customWidth="1"/>
    <col min="3332" max="3334" width="7.140625" style="73" customWidth="1"/>
    <col min="3335" max="3335" width="5" style="73" customWidth="1"/>
    <col min="3336" max="3338" width="7.140625" style="73" customWidth="1"/>
    <col min="3339" max="3582" width="9.140625" style="73"/>
    <col min="3583" max="3583" width="33.140625" style="73" bestFit="1" customWidth="1"/>
    <col min="3584" max="3586" width="7.140625" style="73" customWidth="1"/>
    <col min="3587" max="3587" width="5" style="73" customWidth="1"/>
    <col min="3588" max="3590" width="7.140625" style="73" customWidth="1"/>
    <col min="3591" max="3591" width="5" style="73" customWidth="1"/>
    <col min="3592" max="3594" width="7.140625" style="73" customWidth="1"/>
    <col min="3595" max="3838" width="9.140625" style="73"/>
    <col min="3839" max="3839" width="33.140625" style="73" bestFit="1" customWidth="1"/>
    <col min="3840" max="3842" width="7.140625" style="73" customWidth="1"/>
    <col min="3843" max="3843" width="5" style="73" customWidth="1"/>
    <col min="3844" max="3846" width="7.140625" style="73" customWidth="1"/>
    <col min="3847" max="3847" width="5" style="73" customWidth="1"/>
    <col min="3848" max="3850" width="7.140625" style="73" customWidth="1"/>
    <col min="3851" max="4094" width="9.140625" style="73"/>
    <col min="4095" max="4095" width="33.140625" style="73" bestFit="1" customWidth="1"/>
    <col min="4096" max="4098" width="7.140625" style="73" customWidth="1"/>
    <col min="4099" max="4099" width="5" style="73" customWidth="1"/>
    <col min="4100" max="4102" width="7.140625" style="73" customWidth="1"/>
    <col min="4103" max="4103" width="5" style="73" customWidth="1"/>
    <col min="4104" max="4106" width="7.140625" style="73" customWidth="1"/>
    <col min="4107" max="4350" width="9.140625" style="73"/>
    <col min="4351" max="4351" width="33.140625" style="73" bestFit="1" customWidth="1"/>
    <col min="4352" max="4354" width="7.140625" style="73" customWidth="1"/>
    <col min="4355" max="4355" width="5" style="73" customWidth="1"/>
    <col min="4356" max="4358" width="7.140625" style="73" customWidth="1"/>
    <col min="4359" max="4359" width="5" style="73" customWidth="1"/>
    <col min="4360" max="4362" width="7.140625" style="73" customWidth="1"/>
    <col min="4363" max="4606" width="9.140625" style="73"/>
    <col min="4607" max="4607" width="33.140625" style="73" bestFit="1" customWidth="1"/>
    <col min="4608" max="4610" width="7.140625" style="73" customWidth="1"/>
    <col min="4611" max="4611" width="5" style="73" customWidth="1"/>
    <col min="4612" max="4614" width="7.140625" style="73" customWidth="1"/>
    <col min="4615" max="4615" width="5" style="73" customWidth="1"/>
    <col min="4616" max="4618" width="7.140625" style="73" customWidth="1"/>
    <col min="4619" max="4862" width="9.140625" style="73"/>
    <col min="4863" max="4863" width="33.140625" style="73" bestFit="1" customWidth="1"/>
    <col min="4864" max="4866" width="7.140625" style="73" customWidth="1"/>
    <col min="4867" max="4867" width="5" style="73" customWidth="1"/>
    <col min="4868" max="4870" width="7.140625" style="73" customWidth="1"/>
    <col min="4871" max="4871" width="5" style="73" customWidth="1"/>
    <col min="4872" max="4874" width="7.140625" style="73" customWidth="1"/>
    <col min="4875" max="5118" width="9.140625" style="73"/>
    <col min="5119" max="5119" width="33.140625" style="73" bestFit="1" customWidth="1"/>
    <col min="5120" max="5122" width="7.140625" style="73" customWidth="1"/>
    <col min="5123" max="5123" width="5" style="73" customWidth="1"/>
    <col min="5124" max="5126" width="7.140625" style="73" customWidth="1"/>
    <col min="5127" max="5127" width="5" style="73" customWidth="1"/>
    <col min="5128" max="5130" width="7.140625" style="73" customWidth="1"/>
    <col min="5131" max="5374" width="9.140625" style="73"/>
    <col min="5375" max="5375" width="33.140625" style="73" bestFit="1" customWidth="1"/>
    <col min="5376" max="5378" width="7.140625" style="73" customWidth="1"/>
    <col min="5379" max="5379" width="5" style="73" customWidth="1"/>
    <col min="5380" max="5382" width="7.140625" style="73" customWidth="1"/>
    <col min="5383" max="5383" width="5" style="73" customWidth="1"/>
    <col min="5384" max="5386" width="7.140625" style="73" customWidth="1"/>
    <col min="5387" max="5630" width="9.140625" style="73"/>
    <col min="5631" max="5631" width="33.140625" style="73" bestFit="1" customWidth="1"/>
    <col min="5632" max="5634" width="7.140625" style="73" customWidth="1"/>
    <col min="5635" max="5635" width="5" style="73" customWidth="1"/>
    <col min="5636" max="5638" width="7.140625" style="73" customWidth="1"/>
    <col min="5639" max="5639" width="5" style="73" customWidth="1"/>
    <col min="5640" max="5642" width="7.140625" style="73" customWidth="1"/>
    <col min="5643" max="5886" width="9.140625" style="73"/>
    <col min="5887" max="5887" width="33.140625" style="73" bestFit="1" customWidth="1"/>
    <col min="5888" max="5890" width="7.140625" style="73" customWidth="1"/>
    <col min="5891" max="5891" width="5" style="73" customWidth="1"/>
    <col min="5892" max="5894" width="7.140625" style="73" customWidth="1"/>
    <col min="5895" max="5895" width="5" style="73" customWidth="1"/>
    <col min="5896" max="5898" width="7.140625" style="73" customWidth="1"/>
    <col min="5899" max="6142" width="9.140625" style="73"/>
    <col min="6143" max="6143" width="33.140625" style="73" bestFit="1" customWidth="1"/>
    <col min="6144" max="6146" width="7.140625" style="73" customWidth="1"/>
    <col min="6147" max="6147" width="5" style="73" customWidth="1"/>
    <col min="6148" max="6150" width="7.140625" style="73" customWidth="1"/>
    <col min="6151" max="6151" width="5" style="73" customWidth="1"/>
    <col min="6152" max="6154" width="7.140625" style="73" customWidth="1"/>
    <col min="6155" max="6398" width="9.140625" style="73"/>
    <col min="6399" max="6399" width="33.140625" style="73" bestFit="1" customWidth="1"/>
    <col min="6400" max="6402" width="7.140625" style="73" customWidth="1"/>
    <col min="6403" max="6403" width="5" style="73" customWidth="1"/>
    <col min="6404" max="6406" width="7.140625" style="73" customWidth="1"/>
    <col min="6407" max="6407" width="5" style="73" customWidth="1"/>
    <col min="6408" max="6410" width="7.140625" style="73" customWidth="1"/>
    <col min="6411" max="6654" width="9.140625" style="73"/>
    <col min="6655" max="6655" width="33.140625" style="73" bestFit="1" customWidth="1"/>
    <col min="6656" max="6658" width="7.140625" style="73" customWidth="1"/>
    <col min="6659" max="6659" width="5" style="73" customWidth="1"/>
    <col min="6660" max="6662" width="7.140625" style="73" customWidth="1"/>
    <col min="6663" max="6663" width="5" style="73" customWidth="1"/>
    <col min="6664" max="6666" width="7.140625" style="73" customWidth="1"/>
    <col min="6667" max="6910" width="9.140625" style="73"/>
    <col min="6911" max="6911" width="33.140625" style="73" bestFit="1" customWidth="1"/>
    <col min="6912" max="6914" width="7.140625" style="73" customWidth="1"/>
    <col min="6915" max="6915" width="5" style="73" customWidth="1"/>
    <col min="6916" max="6918" width="7.140625" style="73" customWidth="1"/>
    <col min="6919" max="6919" width="5" style="73" customWidth="1"/>
    <col min="6920" max="6922" width="7.140625" style="73" customWidth="1"/>
    <col min="6923" max="7166" width="9.140625" style="73"/>
    <col min="7167" max="7167" width="33.140625" style="73" bestFit="1" customWidth="1"/>
    <col min="7168" max="7170" width="7.140625" style="73" customWidth="1"/>
    <col min="7171" max="7171" width="5" style="73" customWidth="1"/>
    <col min="7172" max="7174" width="7.140625" style="73" customWidth="1"/>
    <col min="7175" max="7175" width="5" style="73" customWidth="1"/>
    <col min="7176" max="7178" width="7.140625" style="73" customWidth="1"/>
    <col min="7179" max="7422" width="9.140625" style="73"/>
    <col min="7423" max="7423" width="33.140625" style="73" bestFit="1" customWidth="1"/>
    <col min="7424" max="7426" width="7.140625" style="73" customWidth="1"/>
    <col min="7427" max="7427" width="5" style="73" customWidth="1"/>
    <col min="7428" max="7430" width="7.140625" style="73" customWidth="1"/>
    <col min="7431" max="7431" width="5" style="73" customWidth="1"/>
    <col min="7432" max="7434" width="7.140625" style="73" customWidth="1"/>
    <col min="7435" max="7678" width="9.140625" style="73"/>
    <col min="7679" max="7679" width="33.140625" style="73" bestFit="1" customWidth="1"/>
    <col min="7680" max="7682" width="7.140625" style="73" customWidth="1"/>
    <col min="7683" max="7683" width="5" style="73" customWidth="1"/>
    <col min="7684" max="7686" width="7.140625" style="73" customWidth="1"/>
    <col min="7687" max="7687" width="5" style="73" customWidth="1"/>
    <col min="7688" max="7690" width="7.140625" style="73" customWidth="1"/>
    <col min="7691" max="7934" width="9.140625" style="73"/>
    <col min="7935" max="7935" width="33.140625" style="73" bestFit="1" customWidth="1"/>
    <col min="7936" max="7938" width="7.140625" style="73" customWidth="1"/>
    <col min="7939" max="7939" width="5" style="73" customWidth="1"/>
    <col min="7940" max="7942" width="7.140625" style="73" customWidth="1"/>
    <col min="7943" max="7943" width="5" style="73" customWidth="1"/>
    <col min="7944" max="7946" width="7.140625" style="73" customWidth="1"/>
    <col min="7947" max="8190" width="9.140625" style="73"/>
    <col min="8191" max="8191" width="33.140625" style="73" bestFit="1" customWidth="1"/>
    <col min="8192" max="8194" width="7.140625" style="73" customWidth="1"/>
    <col min="8195" max="8195" width="5" style="73" customWidth="1"/>
    <col min="8196" max="8198" width="7.140625" style="73" customWidth="1"/>
    <col min="8199" max="8199" width="5" style="73" customWidth="1"/>
    <col min="8200" max="8202" width="7.140625" style="73" customWidth="1"/>
    <col min="8203" max="8446" width="9.140625" style="73"/>
    <col min="8447" max="8447" width="33.140625" style="73" bestFit="1" customWidth="1"/>
    <col min="8448" max="8450" width="7.140625" style="73" customWidth="1"/>
    <col min="8451" max="8451" width="5" style="73" customWidth="1"/>
    <col min="8452" max="8454" width="7.140625" style="73" customWidth="1"/>
    <col min="8455" max="8455" width="5" style="73" customWidth="1"/>
    <col min="8456" max="8458" width="7.140625" style="73" customWidth="1"/>
    <col min="8459" max="8702" width="9.140625" style="73"/>
    <col min="8703" max="8703" width="33.140625" style="73" bestFit="1" customWidth="1"/>
    <col min="8704" max="8706" width="7.140625" style="73" customWidth="1"/>
    <col min="8707" max="8707" width="5" style="73" customWidth="1"/>
    <col min="8708" max="8710" width="7.140625" style="73" customWidth="1"/>
    <col min="8711" max="8711" width="5" style="73" customWidth="1"/>
    <col min="8712" max="8714" width="7.140625" style="73" customWidth="1"/>
    <col min="8715" max="8958" width="9.140625" style="73"/>
    <col min="8959" max="8959" width="33.140625" style="73" bestFit="1" customWidth="1"/>
    <col min="8960" max="8962" width="7.140625" style="73" customWidth="1"/>
    <col min="8963" max="8963" width="5" style="73" customWidth="1"/>
    <col min="8964" max="8966" width="7.140625" style="73" customWidth="1"/>
    <col min="8967" max="8967" width="5" style="73" customWidth="1"/>
    <col min="8968" max="8970" width="7.140625" style="73" customWidth="1"/>
    <col min="8971" max="9214" width="9.140625" style="73"/>
    <col min="9215" max="9215" width="33.140625" style="73" bestFit="1" customWidth="1"/>
    <col min="9216" max="9218" width="7.140625" style="73" customWidth="1"/>
    <col min="9219" max="9219" width="5" style="73" customWidth="1"/>
    <col min="9220" max="9222" width="7.140625" style="73" customWidth="1"/>
    <col min="9223" max="9223" width="5" style="73" customWidth="1"/>
    <col min="9224" max="9226" width="7.140625" style="73" customWidth="1"/>
    <col min="9227" max="9470" width="9.140625" style="73"/>
    <col min="9471" max="9471" width="33.140625" style="73" bestFit="1" customWidth="1"/>
    <col min="9472" max="9474" width="7.140625" style="73" customWidth="1"/>
    <col min="9475" max="9475" width="5" style="73" customWidth="1"/>
    <col min="9476" max="9478" width="7.140625" style="73" customWidth="1"/>
    <col min="9479" max="9479" width="5" style="73" customWidth="1"/>
    <col min="9480" max="9482" width="7.140625" style="73" customWidth="1"/>
    <col min="9483" max="9726" width="9.140625" style="73"/>
    <col min="9727" max="9727" width="33.140625" style="73" bestFit="1" customWidth="1"/>
    <col min="9728" max="9730" width="7.140625" style="73" customWidth="1"/>
    <col min="9731" max="9731" width="5" style="73" customWidth="1"/>
    <col min="9732" max="9734" width="7.140625" style="73" customWidth="1"/>
    <col min="9735" max="9735" width="5" style="73" customWidth="1"/>
    <col min="9736" max="9738" width="7.140625" style="73" customWidth="1"/>
    <col min="9739" max="9982" width="9.140625" style="73"/>
    <col min="9983" max="9983" width="33.140625" style="73" bestFit="1" customWidth="1"/>
    <col min="9984" max="9986" width="7.140625" style="73" customWidth="1"/>
    <col min="9987" max="9987" width="5" style="73" customWidth="1"/>
    <col min="9988" max="9990" width="7.140625" style="73" customWidth="1"/>
    <col min="9991" max="9991" width="5" style="73" customWidth="1"/>
    <col min="9992" max="9994" width="7.140625" style="73" customWidth="1"/>
    <col min="9995" max="10238" width="9.140625" style="73"/>
    <col min="10239" max="10239" width="33.140625" style="73" bestFit="1" customWidth="1"/>
    <col min="10240" max="10242" width="7.140625" style="73" customWidth="1"/>
    <col min="10243" max="10243" width="5" style="73" customWidth="1"/>
    <col min="10244" max="10246" width="7.140625" style="73" customWidth="1"/>
    <col min="10247" max="10247" width="5" style="73" customWidth="1"/>
    <col min="10248" max="10250" width="7.140625" style="73" customWidth="1"/>
    <col min="10251" max="10494" width="9.140625" style="73"/>
    <col min="10495" max="10495" width="33.140625" style="73" bestFit="1" customWidth="1"/>
    <col min="10496" max="10498" width="7.140625" style="73" customWidth="1"/>
    <col min="10499" max="10499" width="5" style="73" customWidth="1"/>
    <col min="10500" max="10502" width="7.140625" style="73" customWidth="1"/>
    <col min="10503" max="10503" width="5" style="73" customWidth="1"/>
    <col min="10504" max="10506" width="7.140625" style="73" customWidth="1"/>
    <col min="10507" max="10750" width="9.140625" style="73"/>
    <col min="10751" max="10751" width="33.140625" style="73" bestFit="1" customWidth="1"/>
    <col min="10752" max="10754" width="7.140625" style="73" customWidth="1"/>
    <col min="10755" max="10755" width="5" style="73" customWidth="1"/>
    <col min="10756" max="10758" width="7.140625" style="73" customWidth="1"/>
    <col min="10759" max="10759" width="5" style="73" customWidth="1"/>
    <col min="10760" max="10762" width="7.140625" style="73" customWidth="1"/>
    <col min="10763" max="11006" width="9.140625" style="73"/>
    <col min="11007" max="11007" width="33.140625" style="73" bestFit="1" customWidth="1"/>
    <col min="11008" max="11010" width="7.140625" style="73" customWidth="1"/>
    <col min="11011" max="11011" width="5" style="73" customWidth="1"/>
    <col min="11012" max="11014" width="7.140625" style="73" customWidth="1"/>
    <col min="11015" max="11015" width="5" style="73" customWidth="1"/>
    <col min="11016" max="11018" width="7.140625" style="73" customWidth="1"/>
    <col min="11019" max="11262" width="9.140625" style="73"/>
    <col min="11263" max="11263" width="33.140625" style="73" bestFit="1" customWidth="1"/>
    <col min="11264" max="11266" width="7.140625" style="73" customWidth="1"/>
    <col min="11267" max="11267" width="5" style="73" customWidth="1"/>
    <col min="11268" max="11270" width="7.140625" style="73" customWidth="1"/>
    <col min="11271" max="11271" width="5" style="73" customWidth="1"/>
    <col min="11272" max="11274" width="7.140625" style="73" customWidth="1"/>
    <col min="11275" max="11518" width="9.140625" style="73"/>
    <col min="11519" max="11519" width="33.140625" style="73" bestFit="1" customWidth="1"/>
    <col min="11520" max="11522" width="7.140625" style="73" customWidth="1"/>
    <col min="11523" max="11523" width="5" style="73" customWidth="1"/>
    <col min="11524" max="11526" width="7.140625" style="73" customWidth="1"/>
    <col min="11527" max="11527" width="5" style="73" customWidth="1"/>
    <col min="11528" max="11530" width="7.140625" style="73" customWidth="1"/>
    <col min="11531" max="11774" width="9.140625" style="73"/>
    <col min="11775" max="11775" width="33.140625" style="73" bestFit="1" customWidth="1"/>
    <col min="11776" max="11778" width="7.140625" style="73" customWidth="1"/>
    <col min="11779" max="11779" width="5" style="73" customWidth="1"/>
    <col min="11780" max="11782" width="7.140625" style="73" customWidth="1"/>
    <col min="11783" max="11783" width="5" style="73" customWidth="1"/>
    <col min="11784" max="11786" width="7.140625" style="73" customWidth="1"/>
    <col min="11787" max="12030" width="9.140625" style="73"/>
    <col min="12031" max="12031" width="33.140625" style="73" bestFit="1" customWidth="1"/>
    <col min="12032" max="12034" width="7.140625" style="73" customWidth="1"/>
    <col min="12035" max="12035" width="5" style="73" customWidth="1"/>
    <col min="12036" max="12038" width="7.140625" style="73" customWidth="1"/>
    <col min="12039" max="12039" width="5" style="73" customWidth="1"/>
    <col min="12040" max="12042" width="7.140625" style="73" customWidth="1"/>
    <col min="12043" max="12286" width="9.140625" style="73"/>
    <col min="12287" max="12287" width="33.140625" style="73" bestFit="1" customWidth="1"/>
    <col min="12288" max="12290" width="7.140625" style="73" customWidth="1"/>
    <col min="12291" max="12291" width="5" style="73" customWidth="1"/>
    <col min="12292" max="12294" width="7.140625" style="73" customWidth="1"/>
    <col min="12295" max="12295" width="5" style="73" customWidth="1"/>
    <col min="12296" max="12298" width="7.140625" style="73" customWidth="1"/>
    <col min="12299" max="12542" width="9.140625" style="73"/>
    <col min="12543" max="12543" width="33.140625" style="73" bestFit="1" customWidth="1"/>
    <col min="12544" max="12546" width="7.140625" style="73" customWidth="1"/>
    <col min="12547" max="12547" width="5" style="73" customWidth="1"/>
    <col min="12548" max="12550" width="7.140625" style="73" customWidth="1"/>
    <col min="12551" max="12551" width="5" style="73" customWidth="1"/>
    <col min="12552" max="12554" width="7.140625" style="73" customWidth="1"/>
    <col min="12555" max="12798" width="9.140625" style="73"/>
    <col min="12799" max="12799" width="33.140625" style="73" bestFit="1" customWidth="1"/>
    <col min="12800" max="12802" width="7.140625" style="73" customWidth="1"/>
    <col min="12803" max="12803" width="5" style="73" customWidth="1"/>
    <col min="12804" max="12806" width="7.140625" style="73" customWidth="1"/>
    <col min="12807" max="12807" width="5" style="73" customWidth="1"/>
    <col min="12808" max="12810" width="7.140625" style="73" customWidth="1"/>
    <col min="12811" max="13054" width="9.140625" style="73"/>
    <col min="13055" max="13055" width="33.140625" style="73" bestFit="1" customWidth="1"/>
    <col min="13056" max="13058" width="7.140625" style="73" customWidth="1"/>
    <col min="13059" max="13059" width="5" style="73" customWidth="1"/>
    <col min="13060" max="13062" width="7.140625" style="73" customWidth="1"/>
    <col min="13063" max="13063" width="5" style="73" customWidth="1"/>
    <col min="13064" max="13066" width="7.140625" style="73" customWidth="1"/>
    <col min="13067" max="13310" width="9.140625" style="73"/>
    <col min="13311" max="13311" width="33.140625" style="73" bestFit="1" customWidth="1"/>
    <col min="13312" max="13314" width="7.140625" style="73" customWidth="1"/>
    <col min="13315" max="13315" width="5" style="73" customWidth="1"/>
    <col min="13316" max="13318" width="7.140625" style="73" customWidth="1"/>
    <col min="13319" max="13319" width="5" style="73" customWidth="1"/>
    <col min="13320" max="13322" width="7.140625" style="73" customWidth="1"/>
    <col min="13323" max="13566" width="9.140625" style="73"/>
    <col min="13567" max="13567" width="33.140625" style="73" bestFit="1" customWidth="1"/>
    <col min="13568" max="13570" width="7.140625" style="73" customWidth="1"/>
    <col min="13571" max="13571" width="5" style="73" customWidth="1"/>
    <col min="13572" max="13574" width="7.140625" style="73" customWidth="1"/>
    <col min="13575" max="13575" width="5" style="73" customWidth="1"/>
    <col min="13576" max="13578" width="7.140625" style="73" customWidth="1"/>
    <col min="13579" max="13822" width="9.140625" style="73"/>
    <col min="13823" max="13823" width="33.140625" style="73" bestFit="1" customWidth="1"/>
    <col min="13824" max="13826" width="7.140625" style="73" customWidth="1"/>
    <col min="13827" max="13827" width="5" style="73" customWidth="1"/>
    <col min="13828" max="13830" width="7.140625" style="73" customWidth="1"/>
    <col min="13831" max="13831" width="5" style="73" customWidth="1"/>
    <col min="13832" max="13834" width="7.140625" style="73" customWidth="1"/>
    <col min="13835" max="14078" width="9.140625" style="73"/>
    <col min="14079" max="14079" width="33.140625" style="73" bestFit="1" customWidth="1"/>
    <col min="14080" max="14082" width="7.140625" style="73" customWidth="1"/>
    <col min="14083" max="14083" width="5" style="73" customWidth="1"/>
    <col min="14084" max="14086" width="7.140625" style="73" customWidth="1"/>
    <col min="14087" max="14087" width="5" style="73" customWidth="1"/>
    <col min="14088" max="14090" width="7.140625" style="73" customWidth="1"/>
    <col min="14091" max="14334" width="9.140625" style="73"/>
    <col min="14335" max="14335" width="33.140625" style="73" bestFit="1" customWidth="1"/>
    <col min="14336" max="14338" width="7.140625" style="73" customWidth="1"/>
    <col min="14339" max="14339" width="5" style="73" customWidth="1"/>
    <col min="14340" max="14342" width="7.140625" style="73" customWidth="1"/>
    <col min="14343" max="14343" width="5" style="73" customWidth="1"/>
    <col min="14344" max="14346" width="7.140625" style="73" customWidth="1"/>
    <col min="14347" max="14590" width="9.140625" style="73"/>
    <col min="14591" max="14591" width="33.140625" style="73" bestFit="1" customWidth="1"/>
    <col min="14592" max="14594" width="7.140625" style="73" customWidth="1"/>
    <col min="14595" max="14595" width="5" style="73" customWidth="1"/>
    <col min="14596" max="14598" width="7.140625" style="73" customWidth="1"/>
    <col min="14599" max="14599" width="5" style="73" customWidth="1"/>
    <col min="14600" max="14602" width="7.140625" style="73" customWidth="1"/>
    <col min="14603" max="14846" width="9.140625" style="73"/>
    <col min="14847" max="14847" width="33.140625" style="73" bestFit="1" customWidth="1"/>
    <col min="14848" max="14850" width="7.140625" style="73" customWidth="1"/>
    <col min="14851" max="14851" width="5" style="73" customWidth="1"/>
    <col min="14852" max="14854" width="7.140625" style="73" customWidth="1"/>
    <col min="14855" max="14855" width="5" style="73" customWidth="1"/>
    <col min="14856" max="14858" width="7.140625" style="73" customWidth="1"/>
    <col min="14859" max="15102" width="9.140625" style="73"/>
    <col min="15103" max="15103" width="33.140625" style="73" bestFit="1" customWidth="1"/>
    <col min="15104" max="15106" width="7.140625" style="73" customWidth="1"/>
    <col min="15107" max="15107" width="5" style="73" customWidth="1"/>
    <col min="15108" max="15110" width="7.140625" style="73" customWidth="1"/>
    <col min="15111" max="15111" width="5" style="73" customWidth="1"/>
    <col min="15112" max="15114" width="7.140625" style="73" customWidth="1"/>
    <col min="15115" max="15358" width="9.140625" style="73"/>
    <col min="15359" max="15359" width="33.140625" style="73" bestFit="1" customWidth="1"/>
    <col min="15360" max="15362" width="7.140625" style="73" customWidth="1"/>
    <col min="15363" max="15363" width="5" style="73" customWidth="1"/>
    <col min="15364" max="15366" width="7.140625" style="73" customWidth="1"/>
    <col min="15367" max="15367" width="5" style="73" customWidth="1"/>
    <col min="15368" max="15370" width="7.140625" style="73" customWidth="1"/>
    <col min="15371" max="15614" width="9.140625" style="73"/>
    <col min="15615" max="15615" width="33.140625" style="73" bestFit="1" customWidth="1"/>
    <col min="15616" max="15618" width="7.140625" style="73" customWidth="1"/>
    <col min="15619" max="15619" width="5" style="73" customWidth="1"/>
    <col min="15620" max="15622" width="7.140625" style="73" customWidth="1"/>
    <col min="15623" max="15623" width="5" style="73" customWidth="1"/>
    <col min="15624" max="15626" width="7.140625" style="73" customWidth="1"/>
    <col min="15627" max="15870" width="9.140625" style="73"/>
    <col min="15871" max="15871" width="33.140625" style="73" bestFit="1" customWidth="1"/>
    <col min="15872" max="15874" width="7.140625" style="73" customWidth="1"/>
    <col min="15875" max="15875" width="5" style="73" customWidth="1"/>
    <col min="15876" max="15878" width="7.140625" style="73" customWidth="1"/>
    <col min="15879" max="15879" width="5" style="73" customWidth="1"/>
    <col min="15880" max="15882" width="7.140625" style="73" customWidth="1"/>
    <col min="15883" max="16126" width="9.140625" style="73"/>
    <col min="16127" max="16127" width="33.140625" style="73" bestFit="1" customWidth="1"/>
    <col min="16128" max="16130" width="7.140625" style="73" customWidth="1"/>
    <col min="16131" max="16131" width="5" style="73" customWidth="1"/>
    <col min="16132" max="16134" width="7.140625" style="73" customWidth="1"/>
    <col min="16135" max="16135" width="5" style="73" customWidth="1"/>
    <col min="16136" max="16138" width="7.140625" style="73" customWidth="1"/>
    <col min="16139" max="16384" width="9.140625" style="73"/>
  </cols>
  <sheetData>
    <row r="1" spans="1:21" ht="15.75">
      <c r="A1" s="18" t="str">
        <f>CONCATENATE("Occupation Table 4  Occuptation composition (SOC2020) by gender, ",B$6,"-",J$6,", ",Info!B5)</f>
        <v>Occupation Table 4  Occuptation composition (SOC2020) by gender, 2015-2035, Black Country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24"/>
      <c r="M1" s="212"/>
    </row>
    <row r="2" spans="1:21">
      <c r="A2" s="159" t="s">
        <v>161</v>
      </c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24"/>
      <c r="M2" s="212"/>
    </row>
    <row r="3" spans="1:21">
      <c r="B3" s="104"/>
      <c r="D3" s="104"/>
      <c r="F3" s="104"/>
      <c r="H3" s="104"/>
      <c r="J3" s="104"/>
      <c r="K3" s="212"/>
      <c r="L3" s="224"/>
      <c r="M3" s="212"/>
    </row>
    <row r="4" spans="1:21">
      <c r="A4" s="212"/>
      <c r="B4" s="212"/>
      <c r="C4" s="212"/>
      <c r="D4" s="212"/>
      <c r="E4" s="212"/>
      <c r="F4" s="212"/>
      <c r="G4" s="212"/>
      <c r="H4" s="212"/>
      <c r="I4" s="212"/>
      <c r="J4" s="212"/>
      <c r="K4" s="212"/>
      <c r="L4" s="227" t="s">
        <v>112</v>
      </c>
      <c r="M4" s="212"/>
      <c r="N4" s="74"/>
      <c r="O4" s="74"/>
      <c r="P4" s="74"/>
      <c r="Q4" s="74"/>
      <c r="R4" s="74"/>
      <c r="S4" s="74"/>
      <c r="T4" s="74" t="s">
        <v>165</v>
      </c>
      <c r="U4" s="74"/>
    </row>
    <row r="5" spans="1:21">
      <c r="A5" s="218"/>
      <c r="B5" s="218"/>
      <c r="C5" s="219"/>
      <c r="D5" s="219"/>
      <c r="E5" s="219"/>
      <c r="F5" s="219"/>
      <c r="G5" s="219"/>
      <c r="H5" s="219"/>
      <c r="I5" s="219"/>
      <c r="J5" s="219"/>
      <c r="K5" s="219"/>
      <c r="L5" s="212"/>
      <c r="M5" s="212"/>
    </row>
    <row r="6" spans="1:21" ht="14.25" customHeight="1">
      <c r="A6" s="217" t="s">
        <v>153</v>
      </c>
      <c r="B6" s="347">
        <v>2015</v>
      </c>
      <c r="C6" s="348"/>
      <c r="D6" s="348"/>
      <c r="E6" s="296"/>
      <c r="F6" s="347">
        <v>2020</v>
      </c>
      <c r="G6" s="348"/>
      <c r="H6" s="348"/>
      <c r="I6" s="296"/>
      <c r="J6" s="347">
        <v>2035</v>
      </c>
      <c r="K6" s="348"/>
      <c r="L6" s="348"/>
      <c r="M6" s="295"/>
      <c r="N6" s="348" t="s">
        <v>158</v>
      </c>
      <c r="O6" s="348"/>
      <c r="P6" s="297"/>
      <c r="Q6" s="348" t="s">
        <v>157</v>
      </c>
      <c r="R6" s="348"/>
      <c r="S6" s="297"/>
      <c r="T6" s="348" t="s">
        <v>117</v>
      </c>
      <c r="U6" s="348"/>
    </row>
    <row r="7" spans="1:21" ht="15" customHeight="1">
      <c r="A7" s="228"/>
      <c r="B7" s="221" t="s">
        <v>154</v>
      </c>
      <c r="C7" s="221" t="s">
        <v>155</v>
      </c>
      <c r="D7" s="221" t="s">
        <v>117</v>
      </c>
      <c r="E7" s="221"/>
      <c r="F7" s="221" t="s">
        <v>154</v>
      </c>
      <c r="G7" s="221" t="s">
        <v>155</v>
      </c>
      <c r="H7" s="221" t="s">
        <v>117</v>
      </c>
      <c r="I7" s="221"/>
      <c r="J7" s="221" t="s">
        <v>154</v>
      </c>
      <c r="K7" s="221" t="s">
        <v>155</v>
      </c>
      <c r="L7" s="221" t="s">
        <v>117</v>
      </c>
      <c r="M7" s="212"/>
      <c r="N7" s="292" t="str">
        <f>CONCATENATE(B6,"-",RIGHT(F6,2))</f>
        <v>2015-20</v>
      </c>
      <c r="O7" s="292" t="str">
        <f>CONCATENATE(F6,"-",RIGHT(J6,2))</f>
        <v>2020-35</v>
      </c>
      <c r="P7" s="272"/>
      <c r="Q7" s="292" t="str">
        <f>CONCATENATE(B6,"-",RIGHT(F6,2))</f>
        <v>2015-20</v>
      </c>
      <c r="R7" s="292" t="str">
        <f>CONCATENATE(F6,"-",RIGHT(J6,2))</f>
        <v>2020-35</v>
      </c>
      <c r="S7" s="157"/>
      <c r="T7" s="292" t="str">
        <f>CONCATENATE(B6,"-",RIGHT(F6,2))</f>
        <v>2015-20</v>
      </c>
      <c r="U7" s="292" t="str">
        <f>CONCATENATE(F6,"-",RIGHT(J6,2))</f>
        <v>2020-35</v>
      </c>
    </row>
    <row r="8" spans="1:21">
      <c r="A8" s="212"/>
      <c r="B8" s="233"/>
      <c r="C8" s="233"/>
      <c r="D8" s="233"/>
      <c r="E8" s="233"/>
      <c r="F8" s="233"/>
      <c r="G8" s="233"/>
      <c r="H8" s="233"/>
      <c r="I8" s="233"/>
      <c r="J8" s="233"/>
      <c r="K8" s="233"/>
      <c r="L8" s="233"/>
      <c r="M8" s="212"/>
      <c r="N8" s="298"/>
      <c r="O8" s="298"/>
      <c r="P8" s="298"/>
      <c r="Q8" s="298"/>
      <c r="R8" s="298"/>
      <c r="S8" s="298"/>
      <c r="T8" s="298"/>
      <c r="U8" s="298"/>
    </row>
    <row r="9" spans="1:21">
      <c r="A9" s="300" t="str">
        <f>name!D4</f>
        <v>11 Corporate managers and directors</v>
      </c>
      <c r="B9" s="301">
        <v>8.4261277432802579</v>
      </c>
      <c r="C9" s="301">
        <v>21.454658057601161</v>
      </c>
      <c r="D9" s="301">
        <f>SUM(B9:C9)</f>
        <v>29.880785800881419</v>
      </c>
      <c r="E9" s="302"/>
      <c r="F9" s="301">
        <v>11.015297763742437</v>
      </c>
      <c r="G9" s="301">
        <v>23.54205175517588</v>
      </c>
      <c r="H9" s="301">
        <f>SUM(F9:G9)</f>
        <v>34.557349518918315</v>
      </c>
      <c r="I9" s="302"/>
      <c r="J9" s="301">
        <v>12.622071960941076</v>
      </c>
      <c r="K9" s="301">
        <v>21.302900715398657</v>
      </c>
      <c r="L9" s="301">
        <f>SUM(J9:K9)</f>
        <v>33.924972676339735</v>
      </c>
      <c r="M9" s="212"/>
      <c r="N9" s="299">
        <f>IF(B9&gt;0,(EXP(LN(F9/B9)/($F$6-$B$6))-1)*100,0)</f>
        <v>5.5051454399718702</v>
      </c>
      <c r="O9" s="299">
        <f>IF(F9&gt;0,(EXP(LN(J9/F9)/($J$6-$F$6))-1)*100,0)</f>
        <v>0.91187926170008815</v>
      </c>
      <c r="P9" s="299"/>
      <c r="Q9" s="299">
        <f>IF(C9&gt;0,(EXP(LN(G9/C9)/($F$6-$B$6))-1)*100,0)</f>
        <v>1.8742777063866845</v>
      </c>
      <c r="R9" s="299">
        <f>IF(G9&gt;0,(EXP(LN(K9/G9)/($J$6-$F$6))-1)*100,0)</f>
        <v>-0.66408521726293301</v>
      </c>
      <c r="S9" s="298"/>
      <c r="T9" s="299">
        <f>IF(D9&gt;0,(EXP(LN(H9/D9)/($F$6-$B$6))-1)*100,0)</f>
        <v>2.9507896898499641</v>
      </c>
      <c r="U9" s="299">
        <f>IF(H9&gt;0,(EXP(LN(L9/H9)/($J$6-$F$6))-1)*100,0)</f>
        <v>-0.12304988831007835</v>
      </c>
    </row>
    <row r="10" spans="1:21">
      <c r="A10" s="300" t="str">
        <f>name!D5</f>
        <v>12 Other managers and proprietors</v>
      </c>
      <c r="B10" s="301">
        <v>4.9323680541309223</v>
      </c>
      <c r="C10" s="301">
        <v>7.5795667609880075</v>
      </c>
      <c r="D10" s="301">
        <f t="shared" ref="D10:D33" si="0">SUM(B10:C10)</f>
        <v>12.511934815118931</v>
      </c>
      <c r="E10" s="302"/>
      <c r="F10" s="301">
        <v>5.8568844128301869</v>
      </c>
      <c r="G10" s="301">
        <v>7.3861335606273251</v>
      </c>
      <c r="H10" s="301">
        <f t="shared" ref="H10:H33" si="1">SUM(F10:G10)</f>
        <v>13.243017973457512</v>
      </c>
      <c r="I10" s="302"/>
      <c r="J10" s="301">
        <v>6.0331290968371736</v>
      </c>
      <c r="K10" s="301">
        <v>9.2680775133572819</v>
      </c>
      <c r="L10" s="301">
        <f t="shared" ref="L10:L33" si="2">SUM(J10:K10)</f>
        <v>15.301206610194455</v>
      </c>
      <c r="M10" s="212"/>
      <c r="N10" s="299">
        <f t="shared" ref="N10:N36" si="3">IF(B10&gt;0,(EXP(LN(F10/B10)/($F$6-$B$6))-1)*100,0)</f>
        <v>3.4956831090892093</v>
      </c>
      <c r="O10" s="299">
        <f t="shared" ref="O10:O34" si="4">IF(F10&gt;0,(EXP(LN(J10/F10)/($J$6-$F$6))-1)*100,0)</f>
        <v>0.19784883397389041</v>
      </c>
      <c r="P10" s="299"/>
      <c r="Q10" s="299">
        <f t="shared" ref="Q10:Q34" si="5">IF(C10&gt;0,(EXP(LN(G10/C10)/($F$6-$B$6))-1)*100,0)</f>
        <v>-0.51569855102747697</v>
      </c>
      <c r="R10" s="299">
        <f t="shared" ref="R10:R34" si="6">IF(G10&gt;0,(EXP(LN(K10/G10)/($J$6-$F$6))-1)*100,0)</f>
        <v>1.5246497874580989</v>
      </c>
      <c r="S10" s="298"/>
      <c r="T10" s="299">
        <f t="shared" ref="T10:T34" si="7">IF(D10&gt;0,(EXP(LN(H10/D10)/($F$6-$B$6))-1)*100,0)</f>
        <v>1.1422240086861324</v>
      </c>
      <c r="U10" s="299">
        <f t="shared" ref="U10:U34" si="8">IF(H10&gt;0,(EXP(LN(L10/H10)/($J$6-$F$6))-1)*100,0)</f>
        <v>0.96772729272256441</v>
      </c>
    </row>
    <row r="11" spans="1:21">
      <c r="A11" s="300" t="str">
        <f>name!D6</f>
        <v>21 Science, research, engineering and technology professionals</v>
      </c>
      <c r="B11" s="301">
        <v>3.7065420095005157</v>
      </c>
      <c r="C11" s="301">
        <v>19.986025304537037</v>
      </c>
      <c r="D11" s="301">
        <f t="shared" si="0"/>
        <v>23.692567314037554</v>
      </c>
      <c r="E11" s="302"/>
      <c r="F11" s="301">
        <v>4.8675743673321961</v>
      </c>
      <c r="G11" s="301">
        <v>21.806577872402684</v>
      </c>
      <c r="H11" s="301">
        <f t="shared" si="1"/>
        <v>26.67415223973488</v>
      </c>
      <c r="I11" s="302"/>
      <c r="J11" s="301">
        <v>8.1593881141135594</v>
      </c>
      <c r="K11" s="301">
        <v>28.300759774136683</v>
      </c>
      <c r="L11" s="301">
        <f t="shared" si="2"/>
        <v>36.460147888250241</v>
      </c>
      <c r="M11" s="212"/>
      <c r="N11" s="299">
        <f t="shared" si="3"/>
        <v>5.6011709206503779</v>
      </c>
      <c r="O11" s="299">
        <f t="shared" si="4"/>
        <v>3.5038091660962278</v>
      </c>
      <c r="P11" s="299"/>
      <c r="Q11" s="299">
        <f t="shared" si="5"/>
        <v>1.7588562032113675</v>
      </c>
      <c r="R11" s="299">
        <f t="shared" si="6"/>
        <v>1.75303500942805</v>
      </c>
      <c r="S11" s="298"/>
      <c r="T11" s="299">
        <f t="shared" si="7"/>
        <v>2.3989964645567685</v>
      </c>
      <c r="U11" s="299">
        <f t="shared" si="8"/>
        <v>2.1053550953750166</v>
      </c>
    </row>
    <row r="12" spans="1:21">
      <c r="A12" s="300" t="str">
        <f>name!D7</f>
        <v>22 Health professionals</v>
      </c>
      <c r="B12" s="301">
        <v>16.592217505810641</v>
      </c>
      <c r="C12" s="301">
        <v>5.0825544000815421</v>
      </c>
      <c r="D12" s="301">
        <f t="shared" si="0"/>
        <v>21.674771905892182</v>
      </c>
      <c r="E12" s="302"/>
      <c r="F12" s="301">
        <v>20.01271215751045</v>
      </c>
      <c r="G12" s="301">
        <v>6.8725916386043506</v>
      </c>
      <c r="H12" s="301">
        <f t="shared" si="1"/>
        <v>26.885303796114801</v>
      </c>
      <c r="I12" s="302"/>
      <c r="J12" s="301">
        <v>21.371542838754806</v>
      </c>
      <c r="K12" s="301">
        <v>7.2080802251589775</v>
      </c>
      <c r="L12" s="301">
        <f t="shared" si="2"/>
        <v>28.579623063913782</v>
      </c>
      <c r="M12" s="212"/>
      <c r="N12" s="299">
        <f t="shared" si="3"/>
        <v>3.8198275962954664</v>
      </c>
      <c r="O12" s="299">
        <f t="shared" si="4"/>
        <v>0.43891096289416787</v>
      </c>
      <c r="P12" s="299"/>
      <c r="Q12" s="299">
        <f t="shared" si="5"/>
        <v>6.2203433070944447</v>
      </c>
      <c r="R12" s="299">
        <f t="shared" si="6"/>
        <v>0.3182478378464193</v>
      </c>
      <c r="S12" s="298"/>
      <c r="T12" s="299">
        <f t="shared" si="7"/>
        <v>4.4027846668945436</v>
      </c>
      <c r="U12" s="299">
        <f t="shared" si="8"/>
        <v>0.40825893933129631</v>
      </c>
    </row>
    <row r="13" spans="1:21">
      <c r="A13" s="300" t="str">
        <f>name!D8</f>
        <v>23 Teaching and other educational professionals</v>
      </c>
      <c r="B13" s="301">
        <v>12.968034708711482</v>
      </c>
      <c r="C13" s="301">
        <v>6.5723400569597734</v>
      </c>
      <c r="D13" s="301">
        <f t="shared" si="0"/>
        <v>19.540374765671256</v>
      </c>
      <c r="E13" s="302"/>
      <c r="F13" s="301">
        <v>14.881510499738123</v>
      </c>
      <c r="G13" s="301">
        <v>7.1451073437704435</v>
      </c>
      <c r="H13" s="301">
        <f t="shared" si="1"/>
        <v>22.026617843508568</v>
      </c>
      <c r="I13" s="302"/>
      <c r="J13" s="301">
        <v>16.343114258621309</v>
      </c>
      <c r="K13" s="301">
        <v>7.8222420300595887</v>
      </c>
      <c r="L13" s="301">
        <f t="shared" si="2"/>
        <v>24.165356288680897</v>
      </c>
      <c r="M13" s="212"/>
      <c r="N13" s="299">
        <f t="shared" si="3"/>
        <v>2.7908767043660632</v>
      </c>
      <c r="O13" s="299">
        <f t="shared" si="4"/>
        <v>0.62653541359121157</v>
      </c>
      <c r="P13" s="299"/>
      <c r="Q13" s="299">
        <f t="shared" si="5"/>
        <v>1.6851998099975285</v>
      </c>
      <c r="R13" s="299">
        <f t="shared" si="6"/>
        <v>0.60544802665907227</v>
      </c>
      <c r="S13" s="298"/>
      <c r="T13" s="299">
        <f t="shared" si="7"/>
        <v>2.4242955423133372</v>
      </c>
      <c r="U13" s="299">
        <f t="shared" si="8"/>
        <v>0.61970175648629056</v>
      </c>
    </row>
    <row r="14" spans="1:21">
      <c r="A14" s="300" t="str">
        <f>name!D9</f>
        <v>24 Business, media and public service professionals</v>
      </c>
      <c r="B14" s="301">
        <v>8.9126522533407151</v>
      </c>
      <c r="C14" s="301">
        <v>13.893541405818606</v>
      </c>
      <c r="D14" s="301">
        <f t="shared" si="0"/>
        <v>22.80619365915932</v>
      </c>
      <c r="E14" s="302"/>
      <c r="F14" s="301">
        <v>11.742490185681445</v>
      </c>
      <c r="G14" s="301">
        <v>16.215269174648807</v>
      </c>
      <c r="H14" s="301">
        <f t="shared" si="1"/>
        <v>27.95775936033025</v>
      </c>
      <c r="I14" s="302"/>
      <c r="J14" s="301">
        <v>14.099328155504613</v>
      </c>
      <c r="K14" s="301">
        <v>18.434762102201113</v>
      </c>
      <c r="L14" s="301">
        <f t="shared" si="2"/>
        <v>32.534090257705728</v>
      </c>
      <c r="M14" s="212"/>
      <c r="N14" s="299">
        <f t="shared" si="3"/>
        <v>5.6697424208443925</v>
      </c>
      <c r="O14" s="299">
        <f t="shared" si="4"/>
        <v>1.2268868895596308</v>
      </c>
      <c r="P14" s="299"/>
      <c r="Q14" s="299">
        <f t="shared" si="5"/>
        <v>3.1388395104178013</v>
      </c>
      <c r="R14" s="299">
        <f t="shared" si="6"/>
        <v>0.85889946905082226</v>
      </c>
      <c r="S14" s="298"/>
      <c r="T14" s="299">
        <f t="shared" si="7"/>
        <v>4.1573473635407865</v>
      </c>
      <c r="U14" s="299">
        <f t="shared" si="8"/>
        <v>1.0157486829212248</v>
      </c>
    </row>
    <row r="15" spans="1:21">
      <c r="A15" s="300" t="str">
        <f>name!D10</f>
        <v>31 Science, engineering and technology associate professionals</v>
      </c>
      <c r="B15" s="301">
        <v>1.6543689012758929</v>
      </c>
      <c r="C15" s="301">
        <v>5.9852648662886345</v>
      </c>
      <c r="D15" s="301">
        <f t="shared" si="0"/>
        <v>7.6396337675645274</v>
      </c>
      <c r="E15" s="302"/>
      <c r="F15" s="301">
        <v>1.9910445740489724</v>
      </c>
      <c r="G15" s="301">
        <v>6.7208561905131106</v>
      </c>
      <c r="H15" s="301">
        <f t="shared" si="1"/>
        <v>8.711900764562083</v>
      </c>
      <c r="I15" s="302"/>
      <c r="J15" s="301">
        <v>2.4589707307479522</v>
      </c>
      <c r="K15" s="301">
        <v>5.9693453417966023</v>
      </c>
      <c r="L15" s="301">
        <f t="shared" si="2"/>
        <v>8.4283160725445541</v>
      </c>
      <c r="M15" s="212"/>
      <c r="N15" s="299">
        <f t="shared" si="3"/>
        <v>3.7742790832917317</v>
      </c>
      <c r="O15" s="299">
        <f t="shared" si="4"/>
        <v>1.4171709756978013</v>
      </c>
      <c r="P15" s="299"/>
      <c r="Q15" s="299">
        <f t="shared" si="5"/>
        <v>2.3453806818395817</v>
      </c>
      <c r="R15" s="299">
        <f t="shared" si="6"/>
        <v>-0.78740554141478736</v>
      </c>
      <c r="S15" s="298"/>
      <c r="T15" s="299">
        <f t="shared" si="7"/>
        <v>2.6616112272142445</v>
      </c>
      <c r="U15" s="299">
        <f t="shared" si="8"/>
        <v>-0.22037679293599455</v>
      </c>
    </row>
    <row r="16" spans="1:21">
      <c r="A16" s="300" t="str">
        <f>name!D11</f>
        <v>32 Health and social care associate professionals</v>
      </c>
      <c r="B16" s="301">
        <v>6.9430805108852143</v>
      </c>
      <c r="C16" s="301">
        <v>2.0898092470984437</v>
      </c>
      <c r="D16" s="301">
        <f t="shared" si="0"/>
        <v>9.0328897579836571</v>
      </c>
      <c r="E16" s="302"/>
      <c r="F16" s="301">
        <v>8.5411023673706872</v>
      </c>
      <c r="G16" s="301">
        <v>2.4607813380873722</v>
      </c>
      <c r="H16" s="301">
        <f t="shared" si="1"/>
        <v>11.001883705458059</v>
      </c>
      <c r="I16" s="302"/>
      <c r="J16" s="301">
        <v>17.400620944753129</v>
      </c>
      <c r="K16" s="301">
        <v>3.6552006282453262</v>
      </c>
      <c r="L16" s="301">
        <f t="shared" si="2"/>
        <v>21.055821572998454</v>
      </c>
      <c r="M16" s="212"/>
      <c r="N16" s="299">
        <f t="shared" si="3"/>
        <v>4.2299057719797029</v>
      </c>
      <c r="O16" s="299">
        <f t="shared" si="4"/>
        <v>4.8584389427574814</v>
      </c>
      <c r="P16" s="299"/>
      <c r="Q16" s="299">
        <f t="shared" si="5"/>
        <v>3.3221121498853146</v>
      </c>
      <c r="R16" s="299">
        <f t="shared" si="6"/>
        <v>2.6729120135512208</v>
      </c>
      <c r="S16" s="298"/>
      <c r="T16" s="299">
        <f t="shared" si="7"/>
        <v>4.0226870496866907</v>
      </c>
      <c r="U16" s="299">
        <f t="shared" si="8"/>
        <v>4.422401319894731</v>
      </c>
    </row>
    <row r="17" spans="1:21">
      <c r="A17" s="300" t="str">
        <f>name!D12</f>
        <v>33 Protective service occupations</v>
      </c>
      <c r="B17" s="301">
        <v>1.0152730971083521</v>
      </c>
      <c r="C17" s="301">
        <v>3.4291501970427154</v>
      </c>
      <c r="D17" s="301">
        <f t="shared" si="0"/>
        <v>4.4444232941510675</v>
      </c>
      <c r="E17" s="302"/>
      <c r="F17" s="301">
        <v>1.2724165885171148</v>
      </c>
      <c r="G17" s="301">
        <v>3.4149050526208469</v>
      </c>
      <c r="H17" s="301">
        <f t="shared" si="1"/>
        <v>4.6873216411379612</v>
      </c>
      <c r="I17" s="302"/>
      <c r="J17" s="301">
        <v>1.5112739368933152</v>
      </c>
      <c r="K17" s="301">
        <v>2.9406514003190516</v>
      </c>
      <c r="L17" s="301">
        <f t="shared" si="2"/>
        <v>4.4519253372123666</v>
      </c>
      <c r="M17" s="212"/>
      <c r="N17" s="299">
        <f t="shared" si="3"/>
        <v>4.6186926919124849</v>
      </c>
      <c r="O17" s="299">
        <f t="shared" si="4"/>
        <v>1.1535024102477198</v>
      </c>
      <c r="P17" s="299"/>
      <c r="Q17" s="299">
        <f t="shared" si="5"/>
        <v>-8.3221050461312895E-2</v>
      </c>
      <c r="R17" s="299">
        <f t="shared" si="6"/>
        <v>-0.99183896330080623</v>
      </c>
      <c r="S17" s="298"/>
      <c r="T17" s="299">
        <f t="shared" si="7"/>
        <v>1.0699074651868035</v>
      </c>
      <c r="U17" s="299">
        <f t="shared" si="8"/>
        <v>-0.34290857454675194</v>
      </c>
    </row>
    <row r="18" spans="1:21">
      <c r="A18" s="300" t="str">
        <f>name!D13</f>
        <v>34 Culture, media and sports occupations</v>
      </c>
      <c r="B18" s="301">
        <v>3.0100112278818068</v>
      </c>
      <c r="C18" s="301">
        <v>4.5169862879842979</v>
      </c>
      <c r="D18" s="301">
        <f t="shared" si="0"/>
        <v>7.5269975158661051</v>
      </c>
      <c r="E18" s="302"/>
      <c r="F18" s="301">
        <v>3.1518429128138599</v>
      </c>
      <c r="G18" s="301">
        <v>4.5437609296462051</v>
      </c>
      <c r="H18" s="301">
        <f t="shared" si="1"/>
        <v>7.6956038424600646</v>
      </c>
      <c r="I18" s="302"/>
      <c r="J18" s="301">
        <v>3.1045321629251275</v>
      </c>
      <c r="K18" s="301">
        <v>4.137314928784833</v>
      </c>
      <c r="L18" s="301">
        <f t="shared" si="2"/>
        <v>7.2418470917099604</v>
      </c>
      <c r="M18" s="212"/>
      <c r="N18" s="299">
        <f t="shared" si="3"/>
        <v>0.9251235473493935</v>
      </c>
      <c r="O18" s="299">
        <f t="shared" si="4"/>
        <v>-0.10077786217630447</v>
      </c>
      <c r="P18" s="298"/>
      <c r="Q18" s="299">
        <f t="shared" si="5"/>
        <v>0.11827081883093449</v>
      </c>
      <c r="R18" s="299">
        <f t="shared" si="6"/>
        <v>-0.62277306753838468</v>
      </c>
      <c r="S18" s="298"/>
      <c r="T18" s="299">
        <f t="shared" si="7"/>
        <v>0.44404316777673092</v>
      </c>
      <c r="U18" s="299">
        <f t="shared" si="8"/>
        <v>-0.40433329111219107</v>
      </c>
    </row>
    <row r="19" spans="1:21">
      <c r="A19" s="300" t="str">
        <f>name!D14</f>
        <v>35 Business and public service associate professionals</v>
      </c>
      <c r="B19" s="301">
        <v>12.059444259451524</v>
      </c>
      <c r="C19" s="301">
        <v>15.423996768819533</v>
      </c>
      <c r="D19" s="301">
        <f t="shared" si="0"/>
        <v>27.483441028271059</v>
      </c>
      <c r="E19" s="302"/>
      <c r="F19" s="301">
        <v>13.018113488948627</v>
      </c>
      <c r="G19" s="301">
        <v>15.700778568083784</v>
      </c>
      <c r="H19" s="301">
        <f t="shared" si="1"/>
        <v>28.718892057032413</v>
      </c>
      <c r="I19" s="302"/>
      <c r="J19" s="301">
        <v>14.578632487117588</v>
      </c>
      <c r="K19" s="301">
        <v>15.753402090816163</v>
      </c>
      <c r="L19" s="301">
        <f t="shared" si="2"/>
        <v>30.332034577933751</v>
      </c>
      <c r="M19" s="212"/>
      <c r="N19" s="299">
        <f t="shared" si="3"/>
        <v>1.541634936590186</v>
      </c>
      <c r="O19" s="299">
        <f t="shared" si="4"/>
        <v>0.75762352299144631</v>
      </c>
      <c r="P19" s="298"/>
      <c r="Q19" s="299">
        <f t="shared" si="5"/>
        <v>0.35634887969591134</v>
      </c>
      <c r="R19" s="299">
        <f t="shared" si="6"/>
        <v>2.2309463279701625E-2</v>
      </c>
      <c r="S19" s="298"/>
      <c r="T19" s="299">
        <f t="shared" si="7"/>
        <v>0.88330808713676934</v>
      </c>
      <c r="U19" s="299">
        <f t="shared" si="8"/>
        <v>0.36499271392635979</v>
      </c>
    </row>
    <row r="20" spans="1:21">
      <c r="A20" s="300" t="str">
        <f>name!D15</f>
        <v>41 Administrative occupations</v>
      </c>
      <c r="B20" s="301">
        <v>33.524375113282282</v>
      </c>
      <c r="C20" s="301">
        <v>15.614024343375872</v>
      </c>
      <c r="D20" s="301">
        <f t="shared" si="0"/>
        <v>49.138399456658156</v>
      </c>
      <c r="E20" s="302"/>
      <c r="F20" s="301">
        <v>30.967956206585573</v>
      </c>
      <c r="G20" s="301">
        <v>16.23011080316379</v>
      </c>
      <c r="H20" s="301">
        <f t="shared" si="1"/>
        <v>47.198067009749366</v>
      </c>
      <c r="I20" s="302"/>
      <c r="J20" s="301">
        <v>28.468091774549112</v>
      </c>
      <c r="K20" s="301">
        <v>19.651714866681374</v>
      </c>
      <c r="L20" s="301">
        <f t="shared" si="2"/>
        <v>48.119806641230483</v>
      </c>
      <c r="M20" s="212"/>
      <c r="N20" s="299">
        <f t="shared" si="3"/>
        <v>-1.5738788276272619</v>
      </c>
      <c r="O20" s="299">
        <f t="shared" si="4"/>
        <v>-0.55955612621606532</v>
      </c>
      <c r="P20" s="298"/>
      <c r="Q20" s="299">
        <f t="shared" si="5"/>
        <v>0.77697695714709081</v>
      </c>
      <c r="R20" s="299">
        <f t="shared" si="6"/>
        <v>1.283476059456401</v>
      </c>
      <c r="S20" s="298"/>
      <c r="T20" s="299">
        <f t="shared" si="7"/>
        <v>-0.80251961659552062</v>
      </c>
      <c r="U20" s="299">
        <f t="shared" si="8"/>
        <v>0.12902272457058217</v>
      </c>
    </row>
    <row r="21" spans="1:21">
      <c r="A21" s="300" t="str">
        <f>name!D16</f>
        <v>42 Secretarial and related occupations</v>
      </c>
      <c r="B21" s="301">
        <v>10.015629092475114</v>
      </c>
      <c r="C21" s="301">
        <v>0.98392418673063797</v>
      </c>
      <c r="D21" s="301">
        <f t="shared" si="0"/>
        <v>10.999553279205752</v>
      </c>
      <c r="E21" s="302"/>
      <c r="F21" s="301">
        <v>8.5636019135472488</v>
      </c>
      <c r="G21" s="301">
        <v>0.71673135991795822</v>
      </c>
      <c r="H21" s="301">
        <f t="shared" si="1"/>
        <v>9.2803332734652066</v>
      </c>
      <c r="I21" s="302"/>
      <c r="J21" s="301">
        <v>4.6858683269458146</v>
      </c>
      <c r="K21" s="301">
        <v>0.72159592784091953</v>
      </c>
      <c r="L21" s="301">
        <f t="shared" si="2"/>
        <v>5.407464254786734</v>
      </c>
      <c r="M21" s="212"/>
      <c r="N21" s="299">
        <f t="shared" si="3"/>
        <v>-3.0839629008148184</v>
      </c>
      <c r="O21" s="299">
        <f t="shared" si="4"/>
        <v>-3.940075562194234</v>
      </c>
      <c r="P21" s="298"/>
      <c r="Q21" s="299">
        <f t="shared" si="5"/>
        <v>-6.1403448773678644</v>
      </c>
      <c r="R21" s="299">
        <f t="shared" si="6"/>
        <v>4.5105019016000725E-2</v>
      </c>
      <c r="S21" s="298"/>
      <c r="T21" s="299">
        <f t="shared" si="7"/>
        <v>-3.3420221813353579</v>
      </c>
      <c r="U21" s="299">
        <f t="shared" si="8"/>
        <v>-3.5367242946928501</v>
      </c>
    </row>
    <row r="22" spans="1:21">
      <c r="A22" s="300" t="str">
        <f>name!D17</f>
        <v>51 Skilled agricultural and related trades</v>
      </c>
      <c r="B22" s="301">
        <v>0.61074669559458605</v>
      </c>
      <c r="C22" s="301">
        <v>3.720569195128824</v>
      </c>
      <c r="D22" s="301">
        <f t="shared" si="0"/>
        <v>4.3313158907234097</v>
      </c>
      <c r="E22" s="302"/>
      <c r="F22" s="301">
        <v>0.57319109986958328</v>
      </c>
      <c r="G22" s="301">
        <v>2.619953984996287</v>
      </c>
      <c r="H22" s="301">
        <f t="shared" si="1"/>
        <v>3.1931450848658702</v>
      </c>
      <c r="I22" s="302"/>
      <c r="J22" s="301">
        <v>0.74085933110293289</v>
      </c>
      <c r="K22" s="301">
        <v>2.7941578191640217</v>
      </c>
      <c r="L22" s="301">
        <f t="shared" si="2"/>
        <v>3.5350171502669547</v>
      </c>
      <c r="M22" s="212"/>
      <c r="N22" s="299">
        <f t="shared" si="3"/>
        <v>-1.2612414539911909</v>
      </c>
      <c r="O22" s="299">
        <f t="shared" si="4"/>
        <v>1.7253254084360403</v>
      </c>
      <c r="P22" s="298"/>
      <c r="Q22" s="299">
        <f t="shared" si="5"/>
        <v>-6.7740418614765652</v>
      </c>
      <c r="R22" s="299">
        <f t="shared" si="6"/>
        <v>0.43008214084976348</v>
      </c>
      <c r="S22" s="298"/>
      <c r="T22" s="299">
        <f t="shared" si="7"/>
        <v>-5.9151366231925291</v>
      </c>
      <c r="U22" s="299">
        <f t="shared" si="8"/>
        <v>0.6803828236388032</v>
      </c>
    </row>
    <row r="23" spans="1:21">
      <c r="A23" s="300" t="str">
        <f>name!D18</f>
        <v>52 Skilled metal, electrical and electronic trades</v>
      </c>
      <c r="B23" s="301">
        <v>0.36485032937425493</v>
      </c>
      <c r="C23" s="301">
        <v>28.257827507545212</v>
      </c>
      <c r="D23" s="301">
        <f t="shared" si="0"/>
        <v>28.622677836919468</v>
      </c>
      <c r="E23" s="302"/>
      <c r="F23" s="301">
        <v>0.45132702183413442</v>
      </c>
      <c r="G23" s="301">
        <v>22.785499260413552</v>
      </c>
      <c r="H23" s="301">
        <f t="shared" si="1"/>
        <v>23.236826282247687</v>
      </c>
      <c r="I23" s="302"/>
      <c r="J23" s="301">
        <v>0.8713928892013374</v>
      </c>
      <c r="K23" s="301">
        <v>19.96974145302606</v>
      </c>
      <c r="L23" s="301">
        <f t="shared" si="2"/>
        <v>20.841134342227399</v>
      </c>
      <c r="M23" s="212"/>
      <c r="N23" s="299">
        <f t="shared" si="3"/>
        <v>4.3458830549371052</v>
      </c>
      <c r="O23" s="299">
        <f t="shared" si="4"/>
        <v>4.4836121433426301</v>
      </c>
      <c r="P23" s="298"/>
      <c r="Q23" s="299">
        <f t="shared" si="5"/>
        <v>-4.213576921125572</v>
      </c>
      <c r="R23" s="299">
        <f t="shared" si="6"/>
        <v>-0.87551905154897858</v>
      </c>
      <c r="S23" s="298"/>
      <c r="T23" s="299">
        <f t="shared" si="7"/>
        <v>-4.0835029096187414</v>
      </c>
      <c r="U23" s="299">
        <f t="shared" si="8"/>
        <v>-0.72277342843283243</v>
      </c>
    </row>
    <row r="24" spans="1:21">
      <c r="A24" s="300" t="str">
        <f>name!D19</f>
        <v>53 Skilled construction and building trades</v>
      </c>
      <c r="B24" s="301">
        <v>0.24411524455905587</v>
      </c>
      <c r="C24" s="301">
        <v>18.431515324301849</v>
      </c>
      <c r="D24" s="301">
        <f t="shared" si="0"/>
        <v>18.675630568860903</v>
      </c>
      <c r="E24" s="302"/>
      <c r="F24" s="301">
        <v>0.28546637828323057</v>
      </c>
      <c r="G24" s="301">
        <v>17.18800702433489</v>
      </c>
      <c r="H24" s="301">
        <f t="shared" si="1"/>
        <v>17.473473402618122</v>
      </c>
      <c r="I24" s="302"/>
      <c r="J24" s="301">
        <v>0.17595713769719329</v>
      </c>
      <c r="K24" s="301">
        <v>14.225624089851634</v>
      </c>
      <c r="L24" s="301">
        <f t="shared" si="2"/>
        <v>14.401581227548826</v>
      </c>
      <c r="M24" s="212"/>
      <c r="N24" s="299">
        <f t="shared" si="3"/>
        <v>3.1791659196217514</v>
      </c>
      <c r="O24" s="299">
        <f t="shared" si="4"/>
        <v>-3.1744153008046005</v>
      </c>
      <c r="P24" s="298"/>
      <c r="Q24" s="299">
        <f t="shared" si="5"/>
        <v>-1.3872894897872134</v>
      </c>
      <c r="R24" s="299">
        <f t="shared" si="6"/>
        <v>-1.2531947720970216</v>
      </c>
      <c r="S24" s="298"/>
      <c r="T24" s="299">
        <f t="shared" si="7"/>
        <v>-1.3218965885935186</v>
      </c>
      <c r="U24" s="299">
        <f t="shared" si="8"/>
        <v>-1.2807011061727547</v>
      </c>
    </row>
    <row r="25" spans="1:21">
      <c r="A25" s="300" t="str">
        <f>name!D20</f>
        <v>54 Textiles, printing and other skilled trades</v>
      </c>
      <c r="B25" s="301">
        <v>3.3245063011950369</v>
      </c>
      <c r="C25" s="301">
        <v>6.3445971972315247</v>
      </c>
      <c r="D25" s="301">
        <f t="shared" si="0"/>
        <v>9.669103498426562</v>
      </c>
      <c r="E25" s="302"/>
      <c r="F25" s="301">
        <v>3.3753602290378462</v>
      </c>
      <c r="G25" s="301">
        <v>4.9540421002834485</v>
      </c>
      <c r="H25" s="301">
        <f t="shared" si="1"/>
        <v>8.3294023293212938</v>
      </c>
      <c r="I25" s="302"/>
      <c r="J25" s="301">
        <v>3.2951079142314197</v>
      </c>
      <c r="K25" s="301">
        <v>4.6900830934789584</v>
      </c>
      <c r="L25" s="301">
        <f t="shared" si="2"/>
        <v>7.9851910077103785</v>
      </c>
      <c r="M25" s="212"/>
      <c r="N25" s="299">
        <f t="shared" si="3"/>
        <v>0.30407880288649825</v>
      </c>
      <c r="O25" s="299">
        <f t="shared" si="4"/>
        <v>-0.16029229335854378</v>
      </c>
      <c r="P25" s="298"/>
      <c r="Q25" s="299">
        <f t="shared" si="5"/>
        <v>-4.827576690966751</v>
      </c>
      <c r="R25" s="299">
        <f t="shared" si="6"/>
        <v>-0.36435813104567227</v>
      </c>
      <c r="S25" s="298"/>
      <c r="T25" s="299">
        <f t="shared" si="7"/>
        <v>-2.9388290827512376</v>
      </c>
      <c r="U25" s="299">
        <f t="shared" si="8"/>
        <v>-0.28095792058608904</v>
      </c>
    </row>
    <row r="26" spans="1:21">
      <c r="A26" s="300" t="str">
        <f>name!D21</f>
        <v>61 Caring personal service occupations</v>
      </c>
      <c r="B26" s="301">
        <v>34.306178701304844</v>
      </c>
      <c r="C26" s="301">
        <v>4.2430476204005672</v>
      </c>
      <c r="D26" s="301">
        <f t="shared" si="0"/>
        <v>38.549226321705412</v>
      </c>
      <c r="E26" s="302"/>
      <c r="F26" s="301">
        <v>35.463517984676812</v>
      </c>
      <c r="G26" s="301">
        <v>4.2454959953934797</v>
      </c>
      <c r="H26" s="301">
        <f t="shared" si="1"/>
        <v>39.709013980070296</v>
      </c>
      <c r="I26" s="302"/>
      <c r="J26" s="301">
        <v>39.407328289565072</v>
      </c>
      <c r="K26" s="301">
        <v>5.7241065950610333</v>
      </c>
      <c r="L26" s="301">
        <f t="shared" si="2"/>
        <v>45.131434884626103</v>
      </c>
      <c r="M26" s="212"/>
      <c r="N26" s="299">
        <f t="shared" si="3"/>
        <v>0.66578718739822573</v>
      </c>
      <c r="O26" s="299">
        <f t="shared" si="4"/>
        <v>0.70545865514246575</v>
      </c>
      <c r="P26" s="298"/>
      <c r="Q26" s="299">
        <f t="shared" si="5"/>
        <v>1.1537980673415049E-2</v>
      </c>
      <c r="R26" s="299">
        <f t="shared" si="6"/>
        <v>2.012161976642779</v>
      </c>
      <c r="S26" s="298"/>
      <c r="T26" s="299">
        <f t="shared" si="7"/>
        <v>0.59460447567796226</v>
      </c>
      <c r="U26" s="299">
        <f t="shared" si="8"/>
        <v>0.85698993594331974</v>
      </c>
    </row>
    <row r="27" spans="1:21">
      <c r="A27" s="300" t="str">
        <f>name!D22</f>
        <v>62 Leisure, travel and related personal service occupations</v>
      </c>
      <c r="B27" s="301">
        <v>8.4238038771633352</v>
      </c>
      <c r="C27" s="301">
        <v>3.058491608492754</v>
      </c>
      <c r="D27" s="301">
        <f t="shared" si="0"/>
        <v>11.482295485656088</v>
      </c>
      <c r="E27" s="302"/>
      <c r="F27" s="301">
        <v>6.4233243633020036</v>
      </c>
      <c r="G27" s="301">
        <v>2.7586835265309717</v>
      </c>
      <c r="H27" s="301">
        <f t="shared" si="1"/>
        <v>9.1820078898329758</v>
      </c>
      <c r="I27" s="302"/>
      <c r="J27" s="301">
        <v>5.7034726772162196</v>
      </c>
      <c r="K27" s="301">
        <v>2.7097380111785139</v>
      </c>
      <c r="L27" s="301">
        <f t="shared" si="2"/>
        <v>8.4132106883947344</v>
      </c>
      <c r="M27" s="212"/>
      <c r="N27" s="299">
        <f t="shared" si="3"/>
        <v>-5.278117356487277</v>
      </c>
      <c r="O27" s="299">
        <f t="shared" si="4"/>
        <v>-0.78927253300933309</v>
      </c>
      <c r="P27" s="298"/>
      <c r="Q27" s="299">
        <f t="shared" si="5"/>
        <v>-2.0422237395061105</v>
      </c>
      <c r="R27" s="299">
        <f t="shared" si="6"/>
        <v>-0.11927299594571839</v>
      </c>
      <c r="S27" s="298"/>
      <c r="T27" s="299">
        <f t="shared" si="7"/>
        <v>-4.3727231759594805</v>
      </c>
      <c r="U27" s="299">
        <f t="shared" si="8"/>
        <v>-0.58125569202476246</v>
      </c>
    </row>
    <row r="28" spans="1:21">
      <c r="A28" s="300" t="str">
        <f>name!D23</f>
        <v>63 Community and civil enforcement occupations</v>
      </c>
      <c r="B28" s="301">
        <v>9.9217182587818212E-2</v>
      </c>
      <c r="C28" s="301">
        <v>0.34745363873721236</v>
      </c>
      <c r="D28" s="301">
        <f t="shared" si="0"/>
        <v>0.44667082132503055</v>
      </c>
      <c r="E28" s="302"/>
      <c r="F28" s="301">
        <v>0.10181223493232026</v>
      </c>
      <c r="G28" s="301">
        <v>0.34512232129875436</v>
      </c>
      <c r="H28" s="301">
        <f t="shared" si="1"/>
        <v>0.44693455623107464</v>
      </c>
      <c r="I28" s="302"/>
      <c r="J28" s="301">
        <v>0.1390804794342573</v>
      </c>
      <c r="K28" s="301">
        <v>0.23596527829199901</v>
      </c>
      <c r="L28" s="301">
        <f>SUM(J28:K28)</f>
        <v>0.37504575772625631</v>
      </c>
      <c r="M28" s="212"/>
      <c r="N28" s="299">
        <f t="shared" si="3"/>
        <v>0.51771698697025137</v>
      </c>
      <c r="O28" s="299">
        <f t="shared" si="4"/>
        <v>2.1012550461583013</v>
      </c>
      <c r="P28" s="298"/>
      <c r="Q28" s="299">
        <f t="shared" si="5"/>
        <v>-0.13455606639026785</v>
      </c>
      <c r="R28" s="299">
        <f t="shared" si="6"/>
        <v>-2.502906240561642</v>
      </c>
      <c r="S28" s="298"/>
      <c r="T28" s="299">
        <f t="shared" si="7"/>
        <v>1.1806127781244236E-2</v>
      </c>
      <c r="U28" s="299">
        <f t="shared" si="8"/>
        <v>-1.1622869012287262</v>
      </c>
    </row>
    <row r="29" spans="1:21">
      <c r="A29" s="300" t="str">
        <f>name!D24</f>
        <v>71 Sales occupations</v>
      </c>
      <c r="B29" s="301">
        <v>20.443580260654084</v>
      </c>
      <c r="C29" s="301">
        <v>13.78021993769844</v>
      </c>
      <c r="D29" s="301">
        <f t="shared" si="0"/>
        <v>34.223800198352521</v>
      </c>
      <c r="E29" s="302"/>
      <c r="F29" s="301">
        <v>17.249037813317205</v>
      </c>
      <c r="G29" s="301">
        <v>13.001901321449159</v>
      </c>
      <c r="H29" s="301">
        <f t="shared" si="1"/>
        <v>30.250939134766362</v>
      </c>
      <c r="I29" s="302"/>
      <c r="J29" s="301">
        <v>15.384188016731123</v>
      </c>
      <c r="K29" s="301">
        <v>12.429160935553112</v>
      </c>
      <c r="L29" s="301">
        <f t="shared" si="2"/>
        <v>27.813348952284237</v>
      </c>
      <c r="M29" s="212"/>
      <c r="N29" s="299">
        <f t="shared" si="3"/>
        <v>-3.3411589209488501</v>
      </c>
      <c r="O29" s="299">
        <f t="shared" si="4"/>
        <v>-0.75987248133441154</v>
      </c>
      <c r="P29" s="298"/>
      <c r="Q29" s="299">
        <f t="shared" si="5"/>
        <v>-1.1560384035684268</v>
      </c>
      <c r="R29" s="299">
        <f t="shared" si="6"/>
        <v>-0.29988412784954788</v>
      </c>
      <c r="S29" s="298"/>
      <c r="T29" s="299">
        <f t="shared" si="7"/>
        <v>-2.4376784598332035</v>
      </c>
      <c r="U29" s="299">
        <f t="shared" si="8"/>
        <v>-0.55850881574923683</v>
      </c>
    </row>
    <row r="30" spans="1:21">
      <c r="A30" s="300" t="str">
        <f>name!D25</f>
        <v>72 Customer service occupations</v>
      </c>
      <c r="B30" s="301">
        <v>5.1697765080963762</v>
      </c>
      <c r="C30" s="301">
        <v>3.9189141356413506</v>
      </c>
      <c r="D30" s="301">
        <f t="shared" si="0"/>
        <v>9.0886906437377277</v>
      </c>
      <c r="E30" s="302"/>
      <c r="F30" s="301">
        <v>5.3693675590416552</v>
      </c>
      <c r="G30" s="301">
        <v>3.7194792469850886</v>
      </c>
      <c r="H30" s="301">
        <f t="shared" si="1"/>
        <v>9.0888468060267442</v>
      </c>
      <c r="I30" s="302"/>
      <c r="J30" s="301">
        <v>5.9184498264295753</v>
      </c>
      <c r="K30" s="301">
        <v>5.3492840253357752</v>
      </c>
      <c r="L30" s="301">
        <f t="shared" si="2"/>
        <v>11.26773385176535</v>
      </c>
      <c r="M30" s="212"/>
      <c r="N30" s="299">
        <f t="shared" si="3"/>
        <v>0.76049054390092685</v>
      </c>
      <c r="O30" s="299">
        <f t="shared" si="4"/>
        <v>0.65120741069693011</v>
      </c>
      <c r="P30" s="298"/>
      <c r="Q30" s="299">
        <f t="shared" si="5"/>
        <v>-1.0391815693015061</v>
      </c>
      <c r="R30" s="299">
        <f t="shared" si="6"/>
        <v>2.4521086021363159</v>
      </c>
      <c r="S30" s="298"/>
      <c r="T30" s="299">
        <f t="shared" si="7"/>
        <v>3.4363853249619325E-4</v>
      </c>
      <c r="U30" s="299">
        <f t="shared" si="8"/>
        <v>1.4429460177838527</v>
      </c>
    </row>
    <row r="31" spans="1:21">
      <c r="A31" s="300" t="str">
        <f>name!D26</f>
        <v>81 Process, plant and machine operatives</v>
      </c>
      <c r="B31" s="301">
        <v>4.5016237730952078</v>
      </c>
      <c r="C31" s="301">
        <v>18.516053173598369</v>
      </c>
      <c r="D31" s="301">
        <f t="shared" si="0"/>
        <v>23.017676946693577</v>
      </c>
      <c r="E31" s="302"/>
      <c r="F31" s="301">
        <v>4.0747209731229184</v>
      </c>
      <c r="G31" s="301">
        <v>14.308197019339588</v>
      </c>
      <c r="H31" s="301">
        <f t="shared" si="1"/>
        <v>18.382917992462506</v>
      </c>
      <c r="I31" s="302"/>
      <c r="J31" s="301">
        <v>4.7093151204778412</v>
      </c>
      <c r="K31" s="301">
        <v>12.805010245650058</v>
      </c>
      <c r="L31" s="301">
        <f t="shared" si="2"/>
        <v>17.514325366127899</v>
      </c>
      <c r="M31" s="212"/>
      <c r="N31" s="299">
        <f t="shared" si="3"/>
        <v>-1.972994576423337</v>
      </c>
      <c r="O31" s="299">
        <f t="shared" si="4"/>
        <v>0.96960528126170953</v>
      </c>
      <c r="P31" s="298"/>
      <c r="Q31" s="299">
        <f t="shared" si="5"/>
        <v>-5.0254381981206686</v>
      </c>
      <c r="R31" s="299">
        <f t="shared" si="6"/>
        <v>-0.73724274364790343</v>
      </c>
      <c r="S31" s="298"/>
      <c r="T31" s="299">
        <f t="shared" si="7"/>
        <v>-4.3972044343313481</v>
      </c>
      <c r="U31" s="299">
        <f t="shared" si="8"/>
        <v>-0.32216476551591988</v>
      </c>
    </row>
    <row r="32" spans="1:21">
      <c r="A32" s="300" t="str">
        <f>name!D27</f>
        <v>82 Transport and mobile machine drivers and operatives</v>
      </c>
      <c r="B32" s="301">
        <v>1.097989129744207</v>
      </c>
      <c r="C32" s="301">
        <v>23.025017983339353</v>
      </c>
      <c r="D32" s="301">
        <f t="shared" si="0"/>
        <v>24.12300711308356</v>
      </c>
      <c r="E32" s="302"/>
      <c r="F32" s="301">
        <v>0.9749442515319815</v>
      </c>
      <c r="G32" s="301">
        <v>21.000512062003565</v>
      </c>
      <c r="H32" s="301">
        <f t="shared" si="1"/>
        <v>21.975456313535545</v>
      </c>
      <c r="I32" s="302"/>
      <c r="J32" s="301">
        <v>1.4658564500317817</v>
      </c>
      <c r="K32" s="301">
        <v>21.219555916449671</v>
      </c>
      <c r="L32" s="301">
        <f t="shared" si="2"/>
        <v>22.685412366481454</v>
      </c>
      <c r="M32" s="212"/>
      <c r="N32" s="299">
        <f t="shared" si="3"/>
        <v>-2.3490779295733732</v>
      </c>
      <c r="O32" s="299">
        <f t="shared" si="4"/>
        <v>2.7560600715746286</v>
      </c>
      <c r="P32" s="298"/>
      <c r="Q32" s="299">
        <f t="shared" si="5"/>
        <v>-1.823853588619806</v>
      </c>
      <c r="R32" s="299">
        <f t="shared" si="6"/>
        <v>6.919982564945748E-2</v>
      </c>
      <c r="S32" s="298"/>
      <c r="T32" s="299">
        <f t="shared" si="7"/>
        <v>-1.8475168186695146</v>
      </c>
      <c r="U32" s="299">
        <f t="shared" si="8"/>
        <v>0.2121973700340174</v>
      </c>
    </row>
    <row r="33" spans="1:21">
      <c r="A33" s="300" t="str">
        <f>name!D28</f>
        <v>91 Elementary trades and related occupations</v>
      </c>
      <c r="B33" s="301">
        <v>2.8433770765383448</v>
      </c>
      <c r="C33" s="301">
        <v>8.6440665036647317</v>
      </c>
      <c r="D33" s="301">
        <f t="shared" si="0"/>
        <v>11.487443580203077</v>
      </c>
      <c r="E33" s="302"/>
      <c r="F33" s="301">
        <v>1.9280314464236585</v>
      </c>
      <c r="G33" s="301">
        <v>6.6698630780719155</v>
      </c>
      <c r="H33" s="301">
        <f t="shared" si="1"/>
        <v>8.5978945244955742</v>
      </c>
      <c r="I33" s="302"/>
      <c r="J33" s="301">
        <v>7.0281060387183256</v>
      </c>
      <c r="K33" s="301">
        <v>9.4686811693405577</v>
      </c>
      <c r="L33" s="301">
        <f t="shared" si="2"/>
        <v>16.496787208058883</v>
      </c>
      <c r="M33" s="212"/>
      <c r="N33" s="299">
        <f t="shared" si="3"/>
        <v>-7.475673804878169</v>
      </c>
      <c r="O33" s="299">
        <f t="shared" si="4"/>
        <v>9.0054669099422835</v>
      </c>
      <c r="P33" s="298"/>
      <c r="Q33" s="299">
        <f t="shared" si="5"/>
        <v>-5.0533242722607952</v>
      </c>
      <c r="R33" s="299">
        <f t="shared" si="6"/>
        <v>2.3634319985897712</v>
      </c>
      <c r="S33" s="298"/>
      <c r="T33" s="299">
        <f t="shared" si="7"/>
        <v>-5.630045787091742</v>
      </c>
      <c r="U33" s="299">
        <f t="shared" si="8"/>
        <v>4.4400691329606889</v>
      </c>
    </row>
    <row r="34" spans="1:21">
      <c r="A34" s="300" t="str">
        <f>name!D29</f>
        <v>92 Elementary administration and service occupations</v>
      </c>
      <c r="B34" s="301">
        <v>21.899107967782559</v>
      </c>
      <c r="C34" s="301">
        <v>23.573386766069238</v>
      </c>
      <c r="D34" s="301">
        <f t="shared" ref="D34" si="9">SUM(B34:C34)</f>
        <v>45.472494733851796</v>
      </c>
      <c r="E34" s="302"/>
      <c r="F34" s="301">
        <v>18.941946801818354</v>
      </c>
      <c r="G34" s="301">
        <v>18.746991875777951</v>
      </c>
      <c r="H34" s="301">
        <f t="shared" ref="H34" si="10">SUM(F34:G34)</f>
        <v>37.688938677596305</v>
      </c>
      <c r="I34" s="302"/>
      <c r="J34" s="301">
        <v>12.823853034324475</v>
      </c>
      <c r="K34" s="301">
        <v>16.657311828955478</v>
      </c>
      <c r="L34" s="301">
        <f t="shared" ref="L34" si="11">SUM(J34:K34)</f>
        <v>29.481164863279954</v>
      </c>
      <c r="M34" s="212"/>
      <c r="N34" s="299">
        <f t="shared" si="3"/>
        <v>-2.8596558955751417</v>
      </c>
      <c r="O34" s="299">
        <f t="shared" si="4"/>
        <v>-2.5669581685850984</v>
      </c>
      <c r="P34" s="298"/>
      <c r="Q34" s="299">
        <f t="shared" si="5"/>
        <v>-4.4783266343868311</v>
      </c>
      <c r="R34" s="299">
        <f t="shared" si="6"/>
        <v>-0.78479783650308166</v>
      </c>
      <c r="S34" s="298"/>
      <c r="T34" s="299">
        <f t="shared" si="7"/>
        <v>-3.6852004087132517</v>
      </c>
      <c r="U34" s="299">
        <f t="shared" si="8"/>
        <v>-1.6241007083510617</v>
      </c>
    </row>
    <row r="35" spans="1:21">
      <c r="A35" s="300"/>
      <c r="B35" s="301"/>
      <c r="C35" s="301"/>
      <c r="D35" s="301"/>
      <c r="E35" s="302"/>
      <c r="F35" s="301"/>
      <c r="G35" s="301"/>
      <c r="H35" s="301"/>
      <c r="I35" s="302"/>
      <c r="J35" s="301"/>
      <c r="K35" s="301"/>
      <c r="L35" s="301"/>
      <c r="M35" s="212"/>
      <c r="N35" s="299"/>
      <c r="O35" s="299"/>
      <c r="P35" s="298"/>
      <c r="Q35" s="298"/>
      <c r="R35" s="298"/>
      <c r="S35" s="298"/>
      <c r="T35" s="298"/>
      <c r="U35" s="298"/>
    </row>
    <row r="36" spans="1:21">
      <c r="A36" s="303" t="str">
        <f>name!D3</f>
        <v>All occupations</v>
      </c>
      <c r="B36" s="304">
        <f>SUM(B9:B34)</f>
        <v>227.08899752482438</v>
      </c>
      <c r="C36" s="304">
        <f t="shared" ref="C36:D36" si="12">SUM(C9:C34)</f>
        <v>278.47300247517569</v>
      </c>
      <c r="D36" s="304">
        <f t="shared" si="12"/>
        <v>505.56200000000018</v>
      </c>
      <c r="E36" s="304"/>
      <c r="F36" s="304">
        <f>SUM(F9:F34)</f>
        <v>231.09459559585864</v>
      </c>
      <c r="G36" s="304">
        <f t="shared" ref="G36:H36" si="13">SUM(G9:G34)</f>
        <v>265.0994044041413</v>
      </c>
      <c r="H36" s="304">
        <f t="shared" si="13"/>
        <v>496.19399999999996</v>
      </c>
      <c r="I36" s="304"/>
      <c r="J36" s="304">
        <f>SUM(J9:J34)</f>
        <v>248.49953199386613</v>
      </c>
      <c r="K36" s="304">
        <f t="shared" ref="K36:L36" si="14">SUM(K9:K34)</f>
        <v>273.44446800613349</v>
      </c>
      <c r="L36" s="304">
        <f t="shared" si="14"/>
        <v>521.94399999999951</v>
      </c>
      <c r="M36" s="234"/>
      <c r="N36" s="305">
        <f t="shared" si="3"/>
        <v>0.3503147973089149</v>
      </c>
      <c r="O36" s="305">
        <f>IF(F36&gt;0,(EXP(LN(J36/F36)/($J$6-$F$6))-1)*100,0)</f>
        <v>0.4852658244766328</v>
      </c>
      <c r="P36" s="306"/>
      <c r="Q36" s="305">
        <f t="shared" ref="Q36" si="15">IF(C36&gt;0,(EXP(LN(G36/C36)/($F$6-$B$6))-1)*100,0)</f>
        <v>-0.979496358002796</v>
      </c>
      <c r="R36" s="305">
        <f t="shared" ref="R36" si="16">IF(G36&gt;0,(EXP(LN(K36/G36)/($J$6-$F$6))-1)*100,0)</f>
        <v>0.20683823318077277</v>
      </c>
      <c r="S36" s="306"/>
      <c r="T36" s="305">
        <f t="shared" ref="T36" si="17">IF(D36&gt;0,(EXP(LN(H36/D36)/($F$6-$B$6))-1)*100,0)</f>
        <v>-0.37337526450477165</v>
      </c>
      <c r="U36" s="305">
        <f t="shared" ref="U36" si="18">IF(H36&gt;0,(EXP(LN(L36/H36)/($J$6-$F$6))-1)*100,0)</f>
        <v>0.33785827979151417</v>
      </c>
    </row>
    <row r="37" spans="1:21">
      <c r="A37" s="213"/>
      <c r="B37" s="214"/>
      <c r="C37" s="214"/>
      <c r="D37" s="214"/>
      <c r="E37" s="214"/>
      <c r="F37" s="214"/>
      <c r="G37" s="214"/>
      <c r="H37" s="214"/>
      <c r="I37" s="214"/>
      <c r="J37" s="214"/>
      <c r="K37" s="214"/>
      <c r="L37" s="215"/>
      <c r="M37" s="212"/>
    </row>
    <row r="38" spans="1:21">
      <c r="A38" s="213"/>
      <c r="B38" s="213"/>
      <c r="C38" s="213"/>
      <c r="D38" s="213"/>
      <c r="E38" s="213"/>
      <c r="F38" s="213"/>
      <c r="G38" s="213"/>
      <c r="H38" s="213"/>
      <c r="I38" s="213"/>
      <c r="J38" s="213"/>
      <c r="K38" s="213"/>
      <c r="L38" s="260"/>
      <c r="M38" s="212"/>
    </row>
    <row r="39" spans="1:21">
      <c r="A39" s="234"/>
      <c r="B39" s="217"/>
      <c r="C39" s="217"/>
      <c r="D39" s="217"/>
      <c r="E39" s="217"/>
      <c r="F39" s="217"/>
      <c r="G39" s="217"/>
      <c r="H39" s="217"/>
      <c r="I39" s="217"/>
      <c r="J39" s="217"/>
      <c r="K39" s="217"/>
      <c r="L39" s="212"/>
      <c r="M39" s="212"/>
    </row>
    <row r="40" spans="1:21">
      <c r="A40" s="217"/>
      <c r="B40" s="347"/>
      <c r="C40" s="347"/>
      <c r="D40" s="347"/>
      <c r="E40" s="229"/>
      <c r="F40" s="347"/>
      <c r="G40" s="347"/>
      <c r="H40" s="347"/>
      <c r="I40" s="229"/>
      <c r="J40" s="347"/>
      <c r="K40" s="347"/>
      <c r="L40" s="347"/>
      <c r="M40" s="212"/>
    </row>
    <row r="41" spans="1:21">
      <c r="A41" s="234"/>
      <c r="B41" s="235"/>
      <c r="C41" s="235"/>
      <c r="D41" s="235"/>
      <c r="E41" s="235"/>
      <c r="F41" s="235"/>
      <c r="G41" s="235"/>
      <c r="H41" s="235"/>
      <c r="I41" s="235"/>
      <c r="J41" s="235"/>
      <c r="K41" s="235"/>
      <c r="L41" s="235"/>
      <c r="M41" s="212"/>
    </row>
    <row r="42" spans="1:21">
      <c r="A42" s="234"/>
      <c r="B42" s="235"/>
      <c r="C42" s="235"/>
      <c r="D42" s="235"/>
      <c r="E42" s="235"/>
      <c r="F42" s="235"/>
      <c r="G42" s="235"/>
      <c r="H42" s="235"/>
      <c r="I42" s="235"/>
      <c r="J42" s="235"/>
      <c r="K42" s="235"/>
      <c r="L42" s="235"/>
      <c r="M42" s="212"/>
    </row>
    <row r="43" spans="1:21">
      <c r="A43" s="213"/>
      <c r="B43" s="293"/>
      <c r="C43" s="293"/>
      <c r="D43" s="293"/>
      <c r="E43" s="294"/>
      <c r="F43" s="293"/>
      <c r="G43" s="293"/>
      <c r="H43" s="293"/>
      <c r="I43" s="294"/>
      <c r="J43" s="293"/>
      <c r="K43" s="293"/>
      <c r="L43" s="293"/>
      <c r="M43" s="212"/>
    </row>
    <row r="44" spans="1:21">
      <c r="A44" s="213"/>
      <c r="B44" s="293"/>
      <c r="C44" s="293"/>
      <c r="D44" s="293"/>
      <c r="E44" s="294"/>
      <c r="F44" s="293"/>
      <c r="G44" s="293"/>
      <c r="H44" s="293"/>
      <c r="I44" s="294"/>
      <c r="J44" s="293"/>
      <c r="K44" s="293"/>
      <c r="L44" s="293"/>
      <c r="M44" s="212"/>
    </row>
    <row r="45" spans="1:21">
      <c r="A45" s="213"/>
      <c r="B45" s="293"/>
      <c r="C45" s="293"/>
      <c r="D45" s="293"/>
      <c r="E45" s="294"/>
      <c r="F45" s="293"/>
      <c r="G45" s="293"/>
      <c r="H45" s="293"/>
      <c r="I45" s="294"/>
      <c r="J45" s="293"/>
      <c r="K45" s="293"/>
      <c r="L45" s="293"/>
      <c r="M45" s="212"/>
    </row>
    <row r="46" spans="1:21">
      <c r="A46" s="213"/>
      <c r="B46" s="293"/>
      <c r="C46" s="293"/>
      <c r="D46" s="293"/>
      <c r="E46" s="294"/>
      <c r="F46" s="293"/>
      <c r="G46" s="293"/>
      <c r="H46" s="293"/>
      <c r="I46" s="294"/>
      <c r="J46" s="293"/>
      <c r="K46" s="293"/>
      <c r="L46" s="293"/>
      <c r="M46" s="212"/>
    </row>
    <row r="47" spans="1:21">
      <c r="A47" s="213"/>
      <c r="B47" s="293"/>
      <c r="C47" s="293"/>
      <c r="D47" s="293"/>
      <c r="E47" s="294"/>
      <c r="F47" s="293"/>
      <c r="G47" s="293"/>
      <c r="H47" s="293"/>
      <c r="I47" s="294"/>
      <c r="J47" s="293"/>
      <c r="K47" s="293"/>
      <c r="L47" s="293"/>
      <c r="M47" s="212"/>
    </row>
    <row r="48" spans="1:21">
      <c r="A48" s="213"/>
      <c r="B48" s="293"/>
      <c r="C48" s="293"/>
      <c r="D48" s="293"/>
      <c r="E48" s="294"/>
      <c r="F48" s="293"/>
      <c r="G48" s="293"/>
      <c r="H48" s="293"/>
      <c r="I48" s="294"/>
      <c r="J48" s="293"/>
      <c r="K48" s="293"/>
      <c r="L48" s="293"/>
      <c r="M48" s="212"/>
    </row>
    <row r="49" spans="1:13">
      <c r="A49" s="213"/>
      <c r="B49" s="293"/>
      <c r="C49" s="293"/>
      <c r="D49" s="293"/>
      <c r="E49" s="294"/>
      <c r="F49" s="293"/>
      <c r="G49" s="293"/>
      <c r="H49" s="293"/>
      <c r="I49" s="294"/>
      <c r="J49" s="293"/>
      <c r="K49" s="293"/>
      <c r="L49" s="293"/>
      <c r="M49" s="212"/>
    </row>
    <row r="50" spans="1:13">
      <c r="A50" s="213"/>
      <c r="B50" s="293"/>
      <c r="C50" s="293"/>
      <c r="D50" s="293"/>
      <c r="E50" s="294"/>
      <c r="F50" s="293"/>
      <c r="G50" s="293"/>
      <c r="H50" s="293"/>
      <c r="I50" s="294"/>
      <c r="J50" s="293"/>
      <c r="K50" s="293"/>
      <c r="L50" s="293"/>
      <c r="M50" s="212"/>
    </row>
    <row r="51" spans="1:13">
      <c r="A51" s="213"/>
      <c r="B51" s="293"/>
      <c r="C51" s="293"/>
      <c r="D51" s="293"/>
      <c r="E51" s="294"/>
      <c r="F51" s="293"/>
      <c r="G51" s="293"/>
      <c r="H51" s="293"/>
      <c r="I51" s="294"/>
      <c r="J51" s="293"/>
      <c r="K51" s="293"/>
      <c r="L51" s="293"/>
      <c r="M51" s="212"/>
    </row>
    <row r="52" spans="1:13">
      <c r="A52" s="213"/>
      <c r="B52" s="293"/>
      <c r="C52" s="293"/>
      <c r="D52" s="293"/>
      <c r="E52" s="294"/>
      <c r="F52" s="293"/>
      <c r="G52" s="293"/>
      <c r="H52" s="293"/>
      <c r="I52" s="294"/>
      <c r="J52" s="293"/>
      <c r="K52" s="293"/>
      <c r="L52" s="293"/>
      <c r="M52" s="212"/>
    </row>
    <row r="53" spans="1:13">
      <c r="A53" s="213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12"/>
    </row>
    <row r="54" spans="1:13">
      <c r="A54" s="213"/>
      <c r="B54" s="213"/>
      <c r="C54" s="213"/>
      <c r="D54" s="213"/>
      <c r="E54" s="213"/>
      <c r="F54" s="213"/>
      <c r="G54" s="213"/>
      <c r="H54" s="213"/>
      <c r="I54" s="213"/>
      <c r="J54" s="213"/>
      <c r="K54" s="213"/>
      <c r="L54" s="216"/>
      <c r="M54" s="212"/>
    </row>
    <row r="55" spans="1:13">
      <c r="A55" s="213"/>
      <c r="B55" s="213"/>
      <c r="C55" s="213"/>
      <c r="D55" s="213"/>
      <c r="E55" s="213"/>
      <c r="F55" s="213"/>
      <c r="G55" s="213"/>
      <c r="H55" s="213"/>
      <c r="I55" s="213"/>
      <c r="J55" s="213"/>
      <c r="K55" s="213"/>
      <c r="L55" s="260"/>
      <c r="M55" s="212"/>
    </row>
    <row r="56" spans="1:13">
      <c r="A56" s="234"/>
      <c r="B56" s="217"/>
      <c r="C56" s="217"/>
      <c r="D56" s="217"/>
      <c r="E56" s="217"/>
      <c r="F56" s="217"/>
      <c r="G56" s="217"/>
      <c r="H56" s="217"/>
      <c r="I56" s="217"/>
      <c r="J56" s="217"/>
      <c r="K56" s="217"/>
      <c r="L56" s="212"/>
      <c r="M56" s="212"/>
    </row>
    <row r="57" spans="1:13">
      <c r="A57" s="217"/>
      <c r="B57" s="347"/>
      <c r="C57" s="347"/>
      <c r="D57" s="347"/>
      <c r="E57" s="229"/>
      <c r="F57" s="347"/>
      <c r="G57" s="347"/>
      <c r="H57" s="347"/>
      <c r="I57" s="229"/>
      <c r="J57" s="347"/>
      <c r="K57" s="347"/>
      <c r="L57" s="347"/>
      <c r="M57" s="212"/>
    </row>
    <row r="58" spans="1:13">
      <c r="A58" s="234"/>
      <c r="B58" s="235"/>
      <c r="C58" s="235"/>
      <c r="D58" s="235"/>
      <c r="E58" s="235"/>
      <c r="F58" s="235"/>
      <c r="G58" s="235"/>
      <c r="H58" s="235"/>
      <c r="I58" s="235"/>
      <c r="J58" s="235"/>
      <c r="K58" s="235"/>
      <c r="L58" s="235"/>
      <c r="M58" s="212"/>
    </row>
    <row r="59" spans="1:13">
      <c r="A59" s="234"/>
      <c r="B59" s="235"/>
      <c r="C59" s="235"/>
      <c r="D59" s="235"/>
      <c r="E59" s="235"/>
      <c r="F59" s="235"/>
      <c r="G59" s="235"/>
      <c r="H59" s="235"/>
      <c r="I59" s="235"/>
      <c r="J59" s="235"/>
      <c r="K59" s="235"/>
      <c r="L59" s="235"/>
      <c r="M59" s="212"/>
    </row>
    <row r="60" spans="1:13">
      <c r="A60" s="213"/>
      <c r="B60" s="278"/>
      <c r="C60" s="278"/>
      <c r="D60" s="278"/>
      <c r="E60" s="279"/>
      <c r="F60" s="278"/>
      <c r="G60" s="278"/>
      <c r="H60" s="278"/>
      <c r="I60" s="279"/>
      <c r="J60" s="278"/>
      <c r="K60" s="278"/>
      <c r="L60" s="278"/>
      <c r="M60" s="212"/>
    </row>
    <row r="61" spans="1:13">
      <c r="A61" s="213"/>
      <c r="B61" s="278"/>
      <c r="C61" s="278"/>
      <c r="D61" s="278"/>
      <c r="E61" s="279"/>
      <c r="F61" s="278"/>
      <c r="G61" s="278"/>
      <c r="H61" s="278"/>
      <c r="I61" s="279"/>
      <c r="J61" s="278"/>
      <c r="K61" s="278"/>
      <c r="L61" s="278"/>
      <c r="M61" s="212"/>
    </row>
    <row r="62" spans="1:13">
      <c r="A62" s="213"/>
      <c r="B62" s="278"/>
      <c r="C62" s="278"/>
      <c r="D62" s="278"/>
      <c r="E62" s="279"/>
      <c r="F62" s="278"/>
      <c r="G62" s="278"/>
      <c r="H62" s="278"/>
      <c r="I62" s="279"/>
      <c r="J62" s="278"/>
      <c r="K62" s="278"/>
      <c r="L62" s="278"/>
      <c r="M62" s="212"/>
    </row>
    <row r="63" spans="1:13">
      <c r="A63" s="213"/>
      <c r="B63" s="278"/>
      <c r="C63" s="278"/>
      <c r="D63" s="278"/>
      <c r="E63" s="279"/>
      <c r="F63" s="278"/>
      <c r="G63" s="278"/>
      <c r="H63" s="278"/>
      <c r="I63" s="279"/>
      <c r="J63" s="278"/>
      <c r="K63" s="278"/>
      <c r="L63" s="278"/>
      <c r="M63" s="212"/>
    </row>
    <row r="64" spans="1:13">
      <c r="A64" s="213"/>
      <c r="B64" s="278"/>
      <c r="C64" s="278"/>
      <c r="D64" s="278"/>
      <c r="E64" s="279"/>
      <c r="F64" s="278"/>
      <c r="G64" s="278"/>
      <c r="H64" s="278"/>
      <c r="I64" s="279"/>
      <c r="J64" s="278"/>
      <c r="K64" s="278"/>
      <c r="L64" s="278"/>
      <c r="M64" s="212"/>
    </row>
    <row r="65" spans="1:13">
      <c r="A65" s="213"/>
      <c r="B65" s="278"/>
      <c r="C65" s="278"/>
      <c r="D65" s="278"/>
      <c r="E65" s="279"/>
      <c r="F65" s="278"/>
      <c r="G65" s="278"/>
      <c r="H65" s="278"/>
      <c r="I65" s="279"/>
      <c r="J65" s="278"/>
      <c r="K65" s="278"/>
      <c r="L65" s="278"/>
      <c r="M65" s="212"/>
    </row>
    <row r="66" spans="1:13">
      <c r="A66" s="213"/>
      <c r="B66" s="278"/>
      <c r="C66" s="278"/>
      <c r="D66" s="278"/>
      <c r="E66" s="279"/>
      <c r="F66" s="278"/>
      <c r="G66" s="278"/>
      <c r="H66" s="278"/>
      <c r="I66" s="279"/>
      <c r="J66" s="278"/>
      <c r="K66" s="278"/>
      <c r="L66" s="278"/>
      <c r="M66" s="212"/>
    </row>
    <row r="67" spans="1:13">
      <c r="A67" s="213"/>
      <c r="B67" s="278"/>
      <c r="C67" s="278"/>
      <c r="D67" s="278"/>
      <c r="E67" s="279"/>
      <c r="F67" s="278"/>
      <c r="G67" s="278"/>
      <c r="H67" s="278"/>
      <c r="I67" s="279"/>
      <c r="J67" s="278"/>
      <c r="K67" s="278"/>
      <c r="L67" s="278"/>
      <c r="M67" s="212"/>
    </row>
    <row r="68" spans="1:13">
      <c r="A68" s="213"/>
      <c r="B68" s="278"/>
      <c r="C68" s="278"/>
      <c r="D68" s="278"/>
      <c r="E68" s="279"/>
      <c r="F68" s="278"/>
      <c r="G68" s="278"/>
      <c r="H68" s="278"/>
      <c r="I68" s="279"/>
      <c r="J68" s="278"/>
      <c r="K68" s="278"/>
      <c r="L68" s="278"/>
      <c r="M68" s="212"/>
    </row>
    <row r="69" spans="1:13">
      <c r="A69" s="213"/>
      <c r="B69" s="278"/>
      <c r="C69" s="278"/>
      <c r="D69" s="278"/>
      <c r="E69" s="279"/>
      <c r="F69" s="278"/>
      <c r="G69" s="278"/>
      <c r="H69" s="278"/>
      <c r="I69" s="279"/>
      <c r="J69" s="278"/>
      <c r="K69" s="278"/>
      <c r="L69" s="278"/>
      <c r="M69" s="212"/>
    </row>
    <row r="70" spans="1:13">
      <c r="A70" s="213"/>
      <c r="B70" s="279"/>
      <c r="C70" s="279"/>
      <c r="D70" s="279"/>
      <c r="E70" s="279"/>
      <c r="F70" s="279"/>
      <c r="G70" s="279"/>
      <c r="H70" s="279"/>
      <c r="I70" s="279"/>
      <c r="J70" s="279"/>
      <c r="K70" s="279"/>
      <c r="L70" s="279"/>
      <c r="M70" s="212"/>
    </row>
    <row r="71" spans="1:13">
      <c r="A71" s="213"/>
      <c r="B71" s="213"/>
      <c r="C71" s="213"/>
      <c r="D71" s="213"/>
      <c r="E71" s="213"/>
      <c r="F71" s="213"/>
      <c r="G71" s="213"/>
      <c r="H71" s="213"/>
      <c r="I71" s="213"/>
      <c r="J71" s="213"/>
      <c r="K71" s="213"/>
      <c r="L71" s="216"/>
      <c r="M71" s="212"/>
    </row>
    <row r="72" spans="1:13">
      <c r="A72" s="213"/>
      <c r="B72" s="213"/>
      <c r="C72" s="213"/>
      <c r="D72" s="213"/>
      <c r="E72" s="213"/>
      <c r="F72" s="213"/>
      <c r="G72" s="213"/>
      <c r="H72" s="213"/>
      <c r="I72" s="213"/>
      <c r="J72" s="213"/>
      <c r="K72" s="213"/>
      <c r="L72" s="260"/>
      <c r="M72" s="212"/>
    </row>
    <row r="73" spans="1:13">
      <c r="A73" s="234"/>
      <c r="B73" s="217"/>
      <c r="C73" s="217"/>
      <c r="D73" s="217"/>
      <c r="E73" s="217"/>
      <c r="F73" s="217"/>
      <c r="G73" s="217"/>
      <c r="H73" s="217"/>
      <c r="I73" s="217"/>
      <c r="J73" s="217"/>
      <c r="K73" s="217"/>
      <c r="L73" s="212"/>
      <c r="M73" s="212"/>
    </row>
    <row r="74" spans="1:13">
      <c r="A74" s="217"/>
      <c r="B74" s="347"/>
      <c r="C74" s="347"/>
      <c r="D74" s="347"/>
      <c r="E74" s="229"/>
      <c r="F74" s="347"/>
      <c r="G74" s="347"/>
      <c r="H74" s="347"/>
      <c r="I74" s="229"/>
      <c r="J74" s="347"/>
      <c r="K74" s="347"/>
      <c r="L74" s="347"/>
      <c r="M74" s="212"/>
    </row>
    <row r="75" spans="1:13">
      <c r="A75" s="234"/>
      <c r="B75" s="235"/>
      <c r="C75" s="235"/>
      <c r="D75" s="235"/>
      <c r="E75" s="235"/>
      <c r="F75" s="235"/>
      <c r="G75" s="235"/>
      <c r="H75" s="235"/>
      <c r="I75" s="235"/>
      <c r="J75" s="235"/>
      <c r="K75" s="235"/>
      <c r="L75" s="235"/>
      <c r="M75" s="212"/>
    </row>
    <row r="76" spans="1:13">
      <c r="A76" s="234"/>
      <c r="B76" s="235"/>
      <c r="C76" s="235"/>
      <c r="D76" s="235"/>
      <c r="E76" s="235"/>
      <c r="F76" s="235"/>
      <c r="G76" s="235"/>
      <c r="H76" s="235"/>
      <c r="I76" s="235"/>
      <c r="J76" s="235"/>
      <c r="K76" s="235"/>
      <c r="L76" s="235"/>
      <c r="M76" s="212"/>
    </row>
    <row r="77" spans="1:13">
      <c r="A77" s="213"/>
      <c r="B77" s="278"/>
      <c r="C77" s="278"/>
      <c r="D77" s="278"/>
      <c r="E77" s="279"/>
      <c r="F77" s="278"/>
      <c r="G77" s="278"/>
      <c r="H77" s="278"/>
      <c r="I77" s="279"/>
      <c r="J77" s="278"/>
      <c r="K77" s="278"/>
      <c r="L77" s="278"/>
      <c r="M77" s="212"/>
    </row>
    <row r="78" spans="1:13">
      <c r="A78" s="213"/>
      <c r="B78" s="278"/>
      <c r="C78" s="278"/>
      <c r="D78" s="278"/>
      <c r="E78" s="279"/>
      <c r="F78" s="278"/>
      <c r="G78" s="278"/>
      <c r="H78" s="278"/>
      <c r="I78" s="279"/>
      <c r="J78" s="278"/>
      <c r="K78" s="278"/>
      <c r="L78" s="278"/>
      <c r="M78" s="212"/>
    </row>
    <row r="79" spans="1:13">
      <c r="A79" s="213"/>
      <c r="B79" s="278"/>
      <c r="C79" s="278"/>
      <c r="D79" s="278"/>
      <c r="E79" s="279"/>
      <c r="F79" s="278"/>
      <c r="G79" s="278"/>
      <c r="H79" s="278"/>
      <c r="I79" s="279"/>
      <c r="J79" s="278"/>
      <c r="K79" s="278"/>
      <c r="L79" s="278"/>
      <c r="M79" s="212"/>
    </row>
    <row r="80" spans="1:13">
      <c r="A80" s="213"/>
      <c r="B80" s="278"/>
      <c r="C80" s="278"/>
      <c r="D80" s="278"/>
      <c r="E80" s="279"/>
      <c r="F80" s="278"/>
      <c r="G80" s="278"/>
      <c r="H80" s="278"/>
      <c r="I80" s="279"/>
      <c r="J80" s="278"/>
      <c r="K80" s="278"/>
      <c r="L80" s="278"/>
      <c r="M80" s="212"/>
    </row>
    <row r="81" spans="1:13">
      <c r="A81" s="213"/>
      <c r="B81" s="278"/>
      <c r="C81" s="278"/>
      <c r="D81" s="278"/>
      <c r="E81" s="279"/>
      <c r="F81" s="278"/>
      <c r="G81" s="278"/>
      <c r="H81" s="278"/>
      <c r="I81" s="279"/>
      <c r="J81" s="278"/>
      <c r="K81" s="278"/>
      <c r="L81" s="278"/>
      <c r="M81" s="212"/>
    </row>
    <row r="82" spans="1:13">
      <c r="A82" s="213"/>
      <c r="B82" s="278"/>
      <c r="C82" s="278"/>
      <c r="D82" s="278"/>
      <c r="E82" s="279"/>
      <c r="F82" s="278"/>
      <c r="G82" s="278"/>
      <c r="H82" s="278"/>
      <c r="I82" s="279"/>
      <c r="J82" s="278"/>
      <c r="K82" s="278"/>
      <c r="L82" s="278"/>
      <c r="M82" s="212"/>
    </row>
    <row r="83" spans="1:13">
      <c r="A83" s="213"/>
      <c r="B83" s="278"/>
      <c r="C83" s="278"/>
      <c r="D83" s="278"/>
      <c r="E83" s="279"/>
      <c r="F83" s="278"/>
      <c r="G83" s="278"/>
      <c r="H83" s="278"/>
      <c r="I83" s="279"/>
      <c r="J83" s="278"/>
      <c r="K83" s="278"/>
      <c r="L83" s="278"/>
      <c r="M83" s="212"/>
    </row>
    <row r="84" spans="1:13">
      <c r="A84" s="213"/>
      <c r="B84" s="278"/>
      <c r="C84" s="278"/>
      <c r="D84" s="278"/>
      <c r="E84" s="279"/>
      <c r="F84" s="278"/>
      <c r="G84" s="278"/>
      <c r="H84" s="278"/>
      <c r="I84" s="279"/>
      <c r="J84" s="278"/>
      <c r="K84" s="278"/>
      <c r="L84" s="278"/>
      <c r="M84" s="212"/>
    </row>
    <row r="85" spans="1:13">
      <c r="A85" s="213"/>
      <c r="B85" s="278"/>
      <c r="C85" s="278"/>
      <c r="D85" s="278"/>
      <c r="E85" s="279"/>
      <c r="F85" s="278"/>
      <c r="G85" s="278"/>
      <c r="H85" s="278"/>
      <c r="I85" s="279"/>
      <c r="J85" s="278"/>
      <c r="K85" s="278"/>
      <c r="L85" s="278"/>
      <c r="M85" s="212"/>
    </row>
    <row r="86" spans="1:13">
      <c r="A86" s="213"/>
      <c r="B86" s="278"/>
      <c r="C86" s="278"/>
      <c r="D86" s="278"/>
      <c r="E86" s="279"/>
      <c r="F86" s="278"/>
      <c r="G86" s="278"/>
      <c r="H86" s="278"/>
      <c r="I86" s="279"/>
      <c r="J86" s="278"/>
      <c r="K86" s="278"/>
      <c r="L86" s="278"/>
      <c r="M86" s="212"/>
    </row>
    <row r="87" spans="1:13">
      <c r="A87" s="213"/>
      <c r="B87" s="279"/>
      <c r="C87" s="279"/>
      <c r="D87" s="279"/>
      <c r="E87" s="279"/>
      <c r="F87" s="279"/>
      <c r="G87" s="279"/>
      <c r="H87" s="279"/>
      <c r="I87" s="279"/>
      <c r="J87" s="279"/>
      <c r="K87" s="279"/>
      <c r="L87" s="279"/>
      <c r="M87" s="212"/>
    </row>
    <row r="88" spans="1:13">
      <c r="A88" s="213"/>
      <c r="B88" s="213"/>
      <c r="C88" s="213"/>
      <c r="D88" s="213"/>
      <c r="E88" s="213"/>
      <c r="F88" s="213"/>
      <c r="G88" s="213"/>
      <c r="H88" s="213"/>
      <c r="I88" s="213"/>
      <c r="J88" s="213"/>
      <c r="K88" s="213"/>
      <c r="L88" s="216"/>
      <c r="M88" s="212"/>
    </row>
    <row r="89" spans="1:13">
      <c r="A89" s="213"/>
      <c r="B89" s="213"/>
      <c r="C89" s="213"/>
      <c r="D89" s="213"/>
      <c r="E89" s="213"/>
      <c r="F89" s="213"/>
      <c r="G89" s="213"/>
      <c r="H89" s="213"/>
      <c r="I89" s="213"/>
      <c r="J89" s="213"/>
      <c r="K89" s="213"/>
      <c r="L89" s="260"/>
      <c r="M89" s="212"/>
    </row>
    <row r="90" spans="1:13">
      <c r="A90" s="234"/>
      <c r="B90" s="217"/>
      <c r="C90" s="217"/>
      <c r="D90" s="217"/>
      <c r="E90" s="217"/>
      <c r="F90" s="217"/>
      <c r="G90" s="217"/>
      <c r="H90" s="217"/>
      <c r="I90" s="217"/>
      <c r="J90" s="217"/>
      <c r="K90" s="217"/>
      <c r="L90" s="212"/>
      <c r="M90" s="212"/>
    </row>
    <row r="91" spans="1:13">
      <c r="A91" s="217"/>
      <c r="B91" s="347"/>
      <c r="C91" s="347"/>
      <c r="D91" s="347"/>
      <c r="E91" s="229"/>
      <c r="F91" s="347"/>
      <c r="G91" s="347"/>
      <c r="H91" s="347"/>
      <c r="I91" s="229"/>
      <c r="J91" s="347"/>
      <c r="K91" s="347"/>
      <c r="L91" s="347"/>
      <c r="M91" s="212"/>
    </row>
    <row r="92" spans="1:13">
      <c r="A92" s="234"/>
      <c r="B92" s="235"/>
      <c r="C92" s="235"/>
      <c r="D92" s="235"/>
      <c r="E92" s="235"/>
      <c r="F92" s="235"/>
      <c r="G92" s="235"/>
      <c r="H92" s="235"/>
      <c r="I92" s="235"/>
      <c r="J92" s="235"/>
      <c r="K92" s="235"/>
      <c r="L92" s="235"/>
      <c r="M92" s="212"/>
    </row>
    <row r="93" spans="1:13">
      <c r="A93" s="234"/>
      <c r="B93" s="235"/>
      <c r="C93" s="235"/>
      <c r="D93" s="235"/>
      <c r="E93" s="235"/>
      <c r="F93" s="235"/>
      <c r="G93" s="235"/>
      <c r="H93" s="235"/>
      <c r="I93" s="235"/>
      <c r="J93" s="235"/>
      <c r="K93" s="235"/>
      <c r="L93" s="235"/>
      <c r="M93" s="212"/>
    </row>
    <row r="94" spans="1:13">
      <c r="A94" s="213"/>
      <c r="B94" s="278"/>
      <c r="C94" s="278"/>
      <c r="D94" s="278"/>
      <c r="E94" s="279"/>
      <c r="F94" s="278"/>
      <c r="G94" s="278"/>
      <c r="H94" s="278"/>
      <c r="I94" s="279"/>
      <c r="J94" s="278"/>
      <c r="K94" s="278"/>
      <c r="L94" s="278"/>
      <c r="M94" s="212"/>
    </row>
    <row r="95" spans="1:13">
      <c r="A95" s="213"/>
      <c r="B95" s="278"/>
      <c r="C95" s="278"/>
      <c r="D95" s="278"/>
      <c r="E95" s="279"/>
      <c r="F95" s="278"/>
      <c r="G95" s="278"/>
      <c r="H95" s="278"/>
      <c r="I95" s="279"/>
      <c r="J95" s="278"/>
      <c r="K95" s="278"/>
      <c r="L95" s="278"/>
      <c r="M95" s="212"/>
    </row>
    <row r="96" spans="1:13">
      <c r="A96" s="213"/>
      <c r="B96" s="278"/>
      <c r="C96" s="278"/>
      <c r="D96" s="278"/>
      <c r="E96" s="279"/>
      <c r="F96" s="278"/>
      <c r="G96" s="278"/>
      <c r="H96" s="278"/>
      <c r="I96" s="279"/>
      <c r="J96" s="278"/>
      <c r="K96" s="278"/>
      <c r="L96" s="278"/>
      <c r="M96" s="212"/>
    </row>
    <row r="97" spans="1:13">
      <c r="A97" s="213"/>
      <c r="B97" s="278"/>
      <c r="C97" s="278"/>
      <c r="D97" s="278"/>
      <c r="E97" s="279"/>
      <c r="F97" s="278"/>
      <c r="G97" s="278"/>
      <c r="H97" s="278"/>
      <c r="I97" s="279"/>
      <c r="J97" s="278"/>
      <c r="K97" s="278"/>
      <c r="L97" s="278"/>
      <c r="M97" s="212"/>
    </row>
    <row r="98" spans="1:13">
      <c r="A98" s="213"/>
      <c r="B98" s="278"/>
      <c r="C98" s="278"/>
      <c r="D98" s="278"/>
      <c r="E98" s="279"/>
      <c r="F98" s="278"/>
      <c r="G98" s="278"/>
      <c r="H98" s="278"/>
      <c r="I98" s="279"/>
      <c r="J98" s="278"/>
      <c r="K98" s="278"/>
      <c r="L98" s="278"/>
      <c r="M98" s="212"/>
    </row>
    <row r="99" spans="1:13">
      <c r="A99" s="213"/>
      <c r="B99" s="278"/>
      <c r="C99" s="278"/>
      <c r="D99" s="278"/>
      <c r="E99" s="279"/>
      <c r="F99" s="278"/>
      <c r="G99" s="278"/>
      <c r="H99" s="278"/>
      <c r="I99" s="279"/>
      <c r="J99" s="278"/>
      <c r="K99" s="278"/>
      <c r="L99" s="278"/>
      <c r="M99" s="212"/>
    </row>
    <row r="100" spans="1:13">
      <c r="A100" s="213"/>
      <c r="B100" s="278"/>
      <c r="C100" s="278"/>
      <c r="D100" s="278"/>
      <c r="E100" s="279"/>
      <c r="F100" s="278"/>
      <c r="G100" s="278"/>
      <c r="H100" s="278"/>
      <c r="I100" s="279"/>
      <c r="J100" s="278"/>
      <c r="K100" s="278"/>
      <c r="L100" s="278"/>
      <c r="M100" s="212"/>
    </row>
    <row r="101" spans="1:13">
      <c r="A101" s="213"/>
      <c r="B101" s="278"/>
      <c r="C101" s="278"/>
      <c r="D101" s="278"/>
      <c r="E101" s="279"/>
      <c r="F101" s="278"/>
      <c r="G101" s="278"/>
      <c r="H101" s="278"/>
      <c r="I101" s="279"/>
      <c r="J101" s="278"/>
      <c r="K101" s="278"/>
      <c r="L101" s="278"/>
      <c r="M101" s="212"/>
    </row>
    <row r="102" spans="1:13">
      <c r="A102" s="213"/>
      <c r="B102" s="278"/>
      <c r="C102" s="278"/>
      <c r="D102" s="278"/>
      <c r="E102" s="279"/>
      <c r="F102" s="278"/>
      <c r="G102" s="278"/>
      <c r="H102" s="278"/>
      <c r="I102" s="279"/>
      <c r="J102" s="278"/>
      <c r="K102" s="278"/>
      <c r="L102" s="278"/>
      <c r="M102" s="212"/>
    </row>
    <row r="103" spans="1:13">
      <c r="A103" s="213"/>
      <c r="B103" s="278"/>
      <c r="C103" s="278"/>
      <c r="D103" s="278"/>
      <c r="E103" s="279"/>
      <c r="F103" s="278"/>
      <c r="G103" s="278"/>
      <c r="H103" s="278"/>
      <c r="I103" s="279"/>
      <c r="J103" s="278"/>
      <c r="K103" s="278"/>
      <c r="L103" s="278"/>
      <c r="M103" s="212"/>
    </row>
    <row r="104" spans="1:13">
      <c r="A104" s="213"/>
      <c r="B104" s="279"/>
      <c r="C104" s="279"/>
      <c r="D104" s="279"/>
      <c r="E104" s="279"/>
      <c r="F104" s="279"/>
      <c r="G104" s="279"/>
      <c r="H104" s="279"/>
      <c r="I104" s="279"/>
      <c r="J104" s="279"/>
      <c r="K104" s="279"/>
      <c r="L104" s="279"/>
      <c r="M104" s="212"/>
    </row>
    <row r="105" spans="1:13">
      <c r="A105" s="213"/>
      <c r="B105" s="213"/>
      <c r="C105" s="213"/>
      <c r="D105" s="213"/>
      <c r="E105" s="213"/>
      <c r="F105" s="213"/>
      <c r="G105" s="213"/>
      <c r="H105" s="213"/>
      <c r="I105" s="213"/>
      <c r="J105" s="213"/>
      <c r="K105" s="213"/>
      <c r="L105" s="216"/>
      <c r="M105" s="212"/>
    </row>
    <row r="106" spans="1:13">
      <c r="A106" s="213"/>
      <c r="B106" s="213"/>
      <c r="C106" s="213"/>
      <c r="D106" s="213"/>
      <c r="E106" s="213"/>
      <c r="F106" s="213"/>
      <c r="G106" s="213"/>
      <c r="H106" s="213"/>
      <c r="I106" s="213"/>
      <c r="J106" s="213"/>
      <c r="K106" s="213"/>
      <c r="L106" s="260"/>
      <c r="M106" s="212"/>
    </row>
    <row r="107" spans="1:13">
      <c r="A107" s="234"/>
      <c r="B107" s="217"/>
      <c r="C107" s="217"/>
      <c r="D107" s="217"/>
      <c r="E107" s="217"/>
      <c r="F107" s="217"/>
      <c r="G107" s="217"/>
      <c r="H107" s="217"/>
      <c r="I107" s="217"/>
      <c r="J107" s="217"/>
      <c r="K107" s="217"/>
      <c r="L107" s="212"/>
      <c r="M107" s="212"/>
    </row>
    <row r="108" spans="1:13">
      <c r="A108" s="217"/>
      <c r="B108" s="347"/>
      <c r="C108" s="347"/>
      <c r="D108" s="347"/>
      <c r="E108" s="229"/>
      <c r="F108" s="347"/>
      <c r="G108" s="347"/>
      <c r="H108" s="347"/>
      <c r="I108" s="229"/>
      <c r="J108" s="347"/>
      <c r="K108" s="347"/>
      <c r="L108" s="347"/>
      <c r="M108" s="212"/>
    </row>
    <row r="109" spans="1:13">
      <c r="A109" s="234"/>
      <c r="B109" s="235"/>
      <c r="C109" s="235"/>
      <c r="D109" s="235"/>
      <c r="E109" s="235"/>
      <c r="F109" s="235"/>
      <c r="G109" s="235"/>
      <c r="H109" s="235"/>
      <c r="I109" s="235"/>
      <c r="J109" s="235"/>
      <c r="K109" s="235"/>
      <c r="L109" s="235"/>
      <c r="M109" s="212"/>
    </row>
    <row r="110" spans="1:13">
      <c r="A110" s="234"/>
      <c r="B110" s="235"/>
      <c r="C110" s="235"/>
      <c r="D110" s="235"/>
      <c r="E110" s="235"/>
      <c r="F110" s="235"/>
      <c r="G110" s="235"/>
      <c r="H110" s="235"/>
      <c r="I110" s="235"/>
      <c r="J110" s="235"/>
      <c r="K110" s="235"/>
      <c r="L110" s="235"/>
      <c r="M110" s="212"/>
    </row>
    <row r="111" spans="1:13">
      <c r="A111" s="213"/>
      <c r="B111" s="278"/>
      <c r="C111" s="278"/>
      <c r="D111" s="278"/>
      <c r="E111" s="279"/>
      <c r="F111" s="278"/>
      <c r="G111" s="278"/>
      <c r="H111" s="278"/>
      <c r="I111" s="279"/>
      <c r="J111" s="278"/>
      <c r="K111" s="278"/>
      <c r="L111" s="278"/>
      <c r="M111" s="212"/>
    </row>
    <row r="112" spans="1:13">
      <c r="A112" s="213"/>
      <c r="B112" s="278"/>
      <c r="C112" s="278"/>
      <c r="D112" s="278"/>
      <c r="E112" s="279"/>
      <c r="F112" s="278"/>
      <c r="G112" s="278"/>
      <c r="H112" s="278"/>
      <c r="I112" s="279"/>
      <c r="J112" s="278"/>
      <c r="K112" s="278"/>
      <c r="L112" s="278"/>
      <c r="M112" s="212"/>
    </row>
    <row r="113" spans="1:13">
      <c r="A113" s="213"/>
      <c r="B113" s="278"/>
      <c r="C113" s="278"/>
      <c r="D113" s="278"/>
      <c r="E113" s="279"/>
      <c r="F113" s="278"/>
      <c r="G113" s="278"/>
      <c r="H113" s="278"/>
      <c r="I113" s="279"/>
      <c r="J113" s="278"/>
      <c r="K113" s="278"/>
      <c r="L113" s="278"/>
      <c r="M113" s="212"/>
    </row>
    <row r="114" spans="1:13">
      <c r="A114" s="213"/>
      <c r="B114" s="278"/>
      <c r="C114" s="278"/>
      <c r="D114" s="278"/>
      <c r="E114" s="279"/>
      <c r="F114" s="278"/>
      <c r="G114" s="278"/>
      <c r="H114" s="278"/>
      <c r="I114" s="279"/>
      <c r="J114" s="278"/>
      <c r="K114" s="278"/>
      <c r="L114" s="278"/>
      <c r="M114" s="212"/>
    </row>
    <row r="115" spans="1:13">
      <c r="A115" s="213"/>
      <c r="B115" s="278"/>
      <c r="C115" s="278"/>
      <c r="D115" s="278"/>
      <c r="E115" s="279"/>
      <c r="F115" s="278"/>
      <c r="G115" s="278"/>
      <c r="H115" s="278"/>
      <c r="I115" s="279"/>
      <c r="J115" s="278"/>
      <c r="K115" s="278"/>
      <c r="L115" s="278"/>
      <c r="M115" s="212"/>
    </row>
    <row r="116" spans="1:13">
      <c r="A116" s="213"/>
      <c r="B116" s="278"/>
      <c r="C116" s="278"/>
      <c r="D116" s="278"/>
      <c r="E116" s="279"/>
      <c r="F116" s="278"/>
      <c r="G116" s="278"/>
      <c r="H116" s="278"/>
      <c r="I116" s="279"/>
      <c r="J116" s="278"/>
      <c r="K116" s="278"/>
      <c r="L116" s="278"/>
      <c r="M116" s="212"/>
    </row>
    <row r="117" spans="1:13">
      <c r="A117" s="213"/>
      <c r="B117" s="278"/>
      <c r="C117" s="278"/>
      <c r="D117" s="278"/>
      <c r="E117" s="279"/>
      <c r="F117" s="278"/>
      <c r="G117" s="278"/>
      <c r="H117" s="278"/>
      <c r="I117" s="279"/>
      <c r="J117" s="278"/>
      <c r="K117" s="278"/>
      <c r="L117" s="278"/>
      <c r="M117" s="212"/>
    </row>
    <row r="118" spans="1:13">
      <c r="A118" s="213"/>
      <c r="B118" s="278"/>
      <c r="C118" s="278"/>
      <c r="D118" s="278"/>
      <c r="E118" s="279"/>
      <c r="F118" s="278"/>
      <c r="G118" s="278"/>
      <c r="H118" s="278"/>
      <c r="I118" s="279"/>
      <c r="J118" s="278"/>
      <c r="K118" s="278"/>
      <c r="L118" s="278"/>
      <c r="M118" s="212"/>
    </row>
    <row r="119" spans="1:13">
      <c r="A119" s="213"/>
      <c r="B119" s="278"/>
      <c r="C119" s="278"/>
      <c r="D119" s="278"/>
      <c r="E119" s="279"/>
      <c r="F119" s="278"/>
      <c r="G119" s="278"/>
      <c r="H119" s="278"/>
      <c r="I119" s="279"/>
      <c r="J119" s="278"/>
      <c r="K119" s="278"/>
      <c r="L119" s="278"/>
      <c r="M119" s="212"/>
    </row>
    <row r="120" spans="1:13">
      <c r="A120" s="213"/>
      <c r="B120" s="278"/>
      <c r="C120" s="278"/>
      <c r="D120" s="278"/>
      <c r="E120" s="279"/>
      <c r="F120" s="278"/>
      <c r="G120" s="278"/>
      <c r="H120" s="278"/>
      <c r="I120" s="279"/>
      <c r="J120" s="278"/>
      <c r="K120" s="278"/>
      <c r="L120" s="278"/>
      <c r="M120" s="212"/>
    </row>
    <row r="121" spans="1:13">
      <c r="A121" s="213"/>
      <c r="B121" s="279"/>
      <c r="C121" s="279"/>
      <c r="D121" s="279"/>
      <c r="E121" s="279"/>
      <c r="F121" s="279"/>
      <c r="G121" s="279"/>
      <c r="H121" s="279"/>
      <c r="I121" s="279"/>
      <c r="J121" s="279"/>
      <c r="K121" s="279"/>
      <c r="L121" s="279"/>
      <c r="M121" s="212"/>
    </row>
    <row r="122" spans="1:13">
      <c r="A122" s="213"/>
      <c r="B122" s="213"/>
      <c r="C122" s="213"/>
      <c r="D122" s="213"/>
      <c r="E122" s="213"/>
      <c r="F122" s="213"/>
      <c r="G122" s="213"/>
      <c r="H122" s="213"/>
      <c r="I122" s="213"/>
      <c r="J122" s="213"/>
      <c r="K122" s="213"/>
      <c r="L122" s="216"/>
      <c r="M122" s="212"/>
    </row>
    <row r="123" spans="1:13">
      <c r="A123" s="213"/>
      <c r="B123" s="213"/>
      <c r="C123" s="213"/>
      <c r="D123" s="213"/>
      <c r="E123" s="213"/>
      <c r="F123" s="213"/>
      <c r="G123" s="213"/>
      <c r="H123" s="213"/>
      <c r="I123" s="213"/>
      <c r="J123" s="213"/>
      <c r="K123" s="213"/>
      <c r="L123" s="260"/>
      <c r="M123" s="212"/>
    </row>
    <row r="124" spans="1:13">
      <c r="A124" s="234"/>
      <c r="B124" s="217"/>
      <c r="C124" s="217"/>
      <c r="D124" s="217"/>
      <c r="E124" s="217"/>
      <c r="F124" s="217"/>
      <c r="G124" s="217"/>
      <c r="H124" s="217"/>
      <c r="I124" s="217"/>
      <c r="J124" s="217"/>
      <c r="K124" s="217"/>
      <c r="L124" s="212"/>
      <c r="M124" s="212"/>
    </row>
    <row r="125" spans="1:13">
      <c r="A125" s="217"/>
      <c r="B125" s="347"/>
      <c r="C125" s="347"/>
      <c r="D125" s="347"/>
      <c r="E125" s="229"/>
      <c r="F125" s="347"/>
      <c r="G125" s="347"/>
      <c r="H125" s="347"/>
      <c r="I125" s="229"/>
      <c r="J125" s="347"/>
      <c r="K125" s="347"/>
      <c r="L125" s="347"/>
      <c r="M125" s="212"/>
    </row>
    <row r="126" spans="1:13">
      <c r="A126" s="234"/>
      <c r="B126" s="235"/>
      <c r="C126" s="235"/>
      <c r="D126" s="235"/>
      <c r="E126" s="235"/>
      <c r="F126" s="235"/>
      <c r="G126" s="235"/>
      <c r="H126" s="235"/>
      <c r="I126" s="235"/>
      <c r="J126" s="235"/>
      <c r="K126" s="235"/>
      <c r="L126" s="235"/>
      <c r="M126" s="212"/>
    </row>
    <row r="127" spans="1:13">
      <c r="A127" s="234"/>
      <c r="B127" s="235"/>
      <c r="C127" s="235"/>
      <c r="D127" s="235"/>
      <c r="E127" s="235"/>
      <c r="F127" s="235"/>
      <c r="G127" s="235"/>
      <c r="H127" s="235"/>
      <c r="I127" s="235"/>
      <c r="J127" s="235"/>
      <c r="K127" s="235"/>
      <c r="L127" s="235"/>
      <c r="M127" s="212"/>
    </row>
    <row r="128" spans="1:13">
      <c r="A128" s="213"/>
      <c r="B128" s="278"/>
      <c r="C128" s="278"/>
      <c r="D128" s="278"/>
      <c r="E128" s="279"/>
      <c r="F128" s="278"/>
      <c r="G128" s="278"/>
      <c r="H128" s="278"/>
      <c r="I128" s="279"/>
      <c r="J128" s="278"/>
      <c r="K128" s="278"/>
      <c r="L128" s="278"/>
      <c r="M128" s="212"/>
    </row>
    <row r="129" spans="1:13">
      <c r="A129" s="213"/>
      <c r="B129" s="278"/>
      <c r="C129" s="278"/>
      <c r="D129" s="278"/>
      <c r="E129" s="279"/>
      <c r="F129" s="278"/>
      <c r="G129" s="278"/>
      <c r="H129" s="278"/>
      <c r="I129" s="279"/>
      <c r="J129" s="278"/>
      <c r="K129" s="278"/>
      <c r="L129" s="278"/>
      <c r="M129" s="212"/>
    </row>
    <row r="130" spans="1:13">
      <c r="A130" s="213"/>
      <c r="B130" s="278"/>
      <c r="C130" s="278"/>
      <c r="D130" s="278"/>
      <c r="E130" s="279"/>
      <c r="F130" s="278"/>
      <c r="G130" s="278"/>
      <c r="H130" s="278"/>
      <c r="I130" s="279"/>
      <c r="J130" s="278"/>
      <c r="K130" s="278"/>
      <c r="L130" s="278"/>
      <c r="M130" s="212"/>
    </row>
    <row r="131" spans="1:13">
      <c r="A131" s="213"/>
      <c r="B131" s="278"/>
      <c r="C131" s="278"/>
      <c r="D131" s="278"/>
      <c r="E131" s="279"/>
      <c r="F131" s="278"/>
      <c r="G131" s="278"/>
      <c r="H131" s="278"/>
      <c r="I131" s="279"/>
      <c r="J131" s="278"/>
      <c r="K131" s="278"/>
      <c r="L131" s="278"/>
      <c r="M131" s="212"/>
    </row>
    <row r="132" spans="1:13">
      <c r="A132" s="213"/>
      <c r="B132" s="278"/>
      <c r="C132" s="278"/>
      <c r="D132" s="278"/>
      <c r="E132" s="279"/>
      <c r="F132" s="278"/>
      <c r="G132" s="278"/>
      <c r="H132" s="278"/>
      <c r="I132" s="279"/>
      <c r="J132" s="278"/>
      <c r="K132" s="278"/>
      <c r="L132" s="278"/>
      <c r="M132" s="212"/>
    </row>
    <row r="133" spans="1:13">
      <c r="A133" s="213"/>
      <c r="B133" s="278"/>
      <c r="C133" s="278"/>
      <c r="D133" s="278"/>
      <c r="E133" s="279"/>
      <c r="F133" s="278"/>
      <c r="G133" s="278"/>
      <c r="H133" s="278"/>
      <c r="I133" s="279"/>
      <c r="J133" s="278"/>
      <c r="K133" s="278"/>
      <c r="L133" s="278"/>
      <c r="M133" s="212"/>
    </row>
    <row r="134" spans="1:13">
      <c r="A134" s="213"/>
      <c r="B134" s="278"/>
      <c r="C134" s="278"/>
      <c r="D134" s="278"/>
      <c r="E134" s="279"/>
      <c r="F134" s="278"/>
      <c r="G134" s="278"/>
      <c r="H134" s="278"/>
      <c r="I134" s="279"/>
      <c r="J134" s="278"/>
      <c r="K134" s="278"/>
      <c r="L134" s="278"/>
      <c r="M134" s="212"/>
    </row>
    <row r="135" spans="1:13">
      <c r="A135" s="213"/>
      <c r="B135" s="278"/>
      <c r="C135" s="278"/>
      <c r="D135" s="278"/>
      <c r="E135" s="279"/>
      <c r="F135" s="278"/>
      <c r="G135" s="278"/>
      <c r="H135" s="278"/>
      <c r="I135" s="279"/>
      <c r="J135" s="278"/>
      <c r="K135" s="278"/>
      <c r="L135" s="278"/>
      <c r="M135" s="212"/>
    </row>
    <row r="136" spans="1:13">
      <c r="A136" s="213"/>
      <c r="B136" s="278"/>
      <c r="C136" s="278"/>
      <c r="D136" s="278"/>
      <c r="E136" s="279"/>
      <c r="F136" s="278"/>
      <c r="G136" s="278"/>
      <c r="H136" s="278"/>
      <c r="I136" s="279"/>
      <c r="J136" s="278"/>
      <c r="K136" s="278"/>
      <c r="L136" s="278"/>
      <c r="M136" s="212"/>
    </row>
    <row r="137" spans="1:13">
      <c r="A137" s="213"/>
      <c r="B137" s="278"/>
      <c r="C137" s="278"/>
      <c r="D137" s="278"/>
      <c r="E137" s="279"/>
      <c r="F137" s="278"/>
      <c r="G137" s="278"/>
      <c r="H137" s="278"/>
      <c r="I137" s="279"/>
      <c r="J137" s="278"/>
      <c r="K137" s="278"/>
      <c r="L137" s="278"/>
      <c r="M137" s="212"/>
    </row>
    <row r="138" spans="1:13">
      <c r="A138" s="213"/>
      <c r="B138" s="279"/>
      <c r="C138" s="279"/>
      <c r="D138" s="279"/>
      <c r="E138" s="279"/>
      <c r="F138" s="279"/>
      <c r="G138" s="279"/>
      <c r="H138" s="279"/>
      <c r="I138" s="279"/>
      <c r="J138" s="279"/>
      <c r="K138" s="279"/>
      <c r="L138" s="279"/>
      <c r="M138" s="212"/>
    </row>
    <row r="139" spans="1:13">
      <c r="A139" s="213"/>
      <c r="B139" s="213"/>
      <c r="C139" s="213"/>
      <c r="D139" s="213"/>
      <c r="E139" s="213"/>
      <c r="F139" s="213"/>
      <c r="G139" s="213"/>
      <c r="H139" s="213"/>
      <c r="I139" s="213"/>
      <c r="J139" s="213"/>
      <c r="K139" s="213"/>
      <c r="L139" s="216"/>
      <c r="M139" s="212"/>
    </row>
    <row r="140" spans="1:13">
      <c r="A140" s="213"/>
      <c r="B140" s="213"/>
      <c r="C140" s="213"/>
      <c r="D140" s="213"/>
      <c r="E140" s="213"/>
      <c r="F140" s="213"/>
      <c r="G140" s="213"/>
      <c r="H140" s="213"/>
      <c r="I140" s="213"/>
      <c r="J140" s="213"/>
      <c r="K140" s="213"/>
      <c r="L140" s="260"/>
      <c r="M140" s="212"/>
    </row>
    <row r="141" spans="1:13">
      <c r="A141" s="234"/>
      <c r="B141" s="217"/>
      <c r="C141" s="217"/>
      <c r="D141" s="217"/>
      <c r="E141" s="217"/>
      <c r="F141" s="217"/>
      <c r="G141" s="217"/>
      <c r="H141" s="217"/>
      <c r="I141" s="217"/>
      <c r="J141" s="217"/>
      <c r="K141" s="217"/>
      <c r="L141" s="212"/>
      <c r="M141" s="212"/>
    </row>
    <row r="142" spans="1:13">
      <c r="A142" s="217"/>
      <c r="B142" s="347"/>
      <c r="C142" s="347"/>
      <c r="D142" s="347"/>
      <c r="E142" s="229"/>
      <c r="F142" s="347"/>
      <c r="G142" s="347"/>
      <c r="H142" s="347"/>
      <c r="I142" s="229"/>
      <c r="J142" s="347"/>
      <c r="K142" s="347"/>
      <c r="L142" s="347"/>
      <c r="M142" s="212"/>
    </row>
    <row r="143" spans="1:13">
      <c r="A143" s="234"/>
      <c r="B143" s="235"/>
      <c r="C143" s="235"/>
      <c r="D143" s="235"/>
      <c r="E143" s="235"/>
      <c r="F143" s="235"/>
      <c r="G143" s="235"/>
      <c r="H143" s="235"/>
      <c r="I143" s="235"/>
      <c r="J143" s="235"/>
      <c r="K143" s="235"/>
      <c r="L143" s="235"/>
      <c r="M143" s="212"/>
    </row>
    <row r="144" spans="1:13">
      <c r="A144" s="234"/>
      <c r="B144" s="235"/>
      <c r="C144" s="235"/>
      <c r="D144" s="235"/>
      <c r="E144" s="235"/>
      <c r="F144" s="235"/>
      <c r="G144" s="235"/>
      <c r="H144" s="235"/>
      <c r="I144" s="235"/>
      <c r="J144" s="235"/>
      <c r="K144" s="235"/>
      <c r="L144" s="235"/>
      <c r="M144" s="212"/>
    </row>
    <row r="145" spans="1:13">
      <c r="A145" s="213"/>
      <c r="B145" s="278"/>
      <c r="C145" s="278"/>
      <c r="D145" s="278"/>
      <c r="E145" s="279"/>
      <c r="F145" s="278"/>
      <c r="G145" s="278"/>
      <c r="H145" s="278"/>
      <c r="I145" s="279"/>
      <c r="J145" s="278"/>
      <c r="K145" s="278"/>
      <c r="L145" s="278"/>
      <c r="M145" s="212"/>
    </row>
    <row r="146" spans="1:13">
      <c r="A146" s="213"/>
      <c r="B146" s="278"/>
      <c r="C146" s="278"/>
      <c r="D146" s="278"/>
      <c r="E146" s="279"/>
      <c r="F146" s="278"/>
      <c r="G146" s="278"/>
      <c r="H146" s="278"/>
      <c r="I146" s="279"/>
      <c r="J146" s="278"/>
      <c r="K146" s="278"/>
      <c r="L146" s="278"/>
      <c r="M146" s="212"/>
    </row>
    <row r="147" spans="1:13">
      <c r="A147" s="213"/>
      <c r="B147" s="278"/>
      <c r="C147" s="278"/>
      <c r="D147" s="278"/>
      <c r="E147" s="279"/>
      <c r="F147" s="278"/>
      <c r="G147" s="278"/>
      <c r="H147" s="278"/>
      <c r="I147" s="279"/>
      <c r="J147" s="278"/>
      <c r="K147" s="278"/>
      <c r="L147" s="278"/>
      <c r="M147" s="212"/>
    </row>
    <row r="148" spans="1:13">
      <c r="A148" s="213"/>
      <c r="B148" s="278"/>
      <c r="C148" s="278"/>
      <c r="D148" s="278"/>
      <c r="E148" s="279"/>
      <c r="F148" s="278"/>
      <c r="G148" s="278"/>
      <c r="H148" s="278"/>
      <c r="I148" s="279"/>
      <c r="J148" s="278"/>
      <c r="K148" s="278"/>
      <c r="L148" s="278"/>
      <c r="M148" s="212"/>
    </row>
    <row r="149" spans="1:13">
      <c r="A149" s="213"/>
      <c r="B149" s="278"/>
      <c r="C149" s="278"/>
      <c r="D149" s="278"/>
      <c r="E149" s="279"/>
      <c r="F149" s="278"/>
      <c r="G149" s="278"/>
      <c r="H149" s="278"/>
      <c r="I149" s="279"/>
      <c r="J149" s="278"/>
      <c r="K149" s="278"/>
      <c r="L149" s="278"/>
      <c r="M149" s="212"/>
    </row>
    <row r="150" spans="1:13">
      <c r="A150" s="213"/>
      <c r="B150" s="278"/>
      <c r="C150" s="278"/>
      <c r="D150" s="278"/>
      <c r="E150" s="279"/>
      <c r="F150" s="278"/>
      <c r="G150" s="278"/>
      <c r="H150" s="278"/>
      <c r="I150" s="279"/>
      <c r="J150" s="278"/>
      <c r="K150" s="278"/>
      <c r="L150" s="278"/>
      <c r="M150" s="212"/>
    </row>
    <row r="151" spans="1:13">
      <c r="A151" s="213"/>
      <c r="B151" s="278"/>
      <c r="C151" s="278"/>
      <c r="D151" s="278"/>
      <c r="E151" s="279"/>
      <c r="F151" s="278"/>
      <c r="G151" s="278"/>
      <c r="H151" s="278"/>
      <c r="I151" s="279"/>
      <c r="J151" s="278"/>
      <c r="K151" s="278"/>
      <c r="L151" s="278"/>
      <c r="M151" s="212"/>
    </row>
    <row r="152" spans="1:13">
      <c r="A152" s="213"/>
      <c r="B152" s="278"/>
      <c r="C152" s="278"/>
      <c r="D152" s="278"/>
      <c r="E152" s="279"/>
      <c r="F152" s="278"/>
      <c r="G152" s="278"/>
      <c r="H152" s="278"/>
      <c r="I152" s="279"/>
      <c r="J152" s="278"/>
      <c r="K152" s="278"/>
      <c r="L152" s="278"/>
      <c r="M152" s="212"/>
    </row>
    <row r="153" spans="1:13">
      <c r="A153" s="213"/>
      <c r="B153" s="278"/>
      <c r="C153" s="278"/>
      <c r="D153" s="278"/>
      <c r="E153" s="279"/>
      <c r="F153" s="278"/>
      <c r="G153" s="278"/>
      <c r="H153" s="278"/>
      <c r="I153" s="279"/>
      <c r="J153" s="278"/>
      <c r="K153" s="278"/>
      <c r="L153" s="278"/>
      <c r="M153" s="212"/>
    </row>
    <row r="154" spans="1:13">
      <c r="A154" s="213"/>
      <c r="B154" s="278"/>
      <c r="C154" s="278"/>
      <c r="D154" s="278"/>
      <c r="E154" s="279"/>
      <c r="F154" s="278"/>
      <c r="G154" s="278"/>
      <c r="H154" s="278"/>
      <c r="I154" s="279"/>
      <c r="J154" s="278"/>
      <c r="K154" s="278"/>
      <c r="L154" s="278"/>
      <c r="M154" s="212"/>
    </row>
    <row r="155" spans="1:13">
      <c r="A155" s="213"/>
      <c r="B155" s="279"/>
      <c r="C155" s="279"/>
      <c r="D155" s="279"/>
      <c r="E155" s="279"/>
      <c r="F155" s="279"/>
      <c r="G155" s="279"/>
      <c r="H155" s="279"/>
      <c r="I155" s="279"/>
      <c r="J155" s="279"/>
      <c r="K155" s="279"/>
      <c r="L155" s="279"/>
      <c r="M155" s="212"/>
    </row>
    <row r="156" spans="1:13">
      <c r="A156" s="213"/>
      <c r="B156" s="213"/>
      <c r="C156" s="213"/>
      <c r="D156" s="213"/>
      <c r="E156" s="213"/>
      <c r="F156" s="213"/>
      <c r="G156" s="213"/>
      <c r="H156" s="213"/>
      <c r="I156" s="213"/>
      <c r="J156" s="213"/>
      <c r="K156" s="213"/>
      <c r="L156" s="216"/>
      <c r="M156" s="212"/>
    </row>
    <row r="157" spans="1:13">
      <c r="A157" s="213"/>
      <c r="B157" s="213"/>
      <c r="C157" s="213"/>
      <c r="D157" s="213"/>
      <c r="E157" s="213"/>
      <c r="F157" s="213"/>
      <c r="G157" s="213"/>
      <c r="H157" s="213"/>
      <c r="I157" s="213"/>
      <c r="J157" s="213"/>
      <c r="K157" s="213"/>
      <c r="L157" s="260"/>
      <c r="M157" s="212"/>
    </row>
    <row r="158" spans="1:13">
      <c r="A158" s="234"/>
      <c r="B158" s="217"/>
      <c r="C158" s="217"/>
      <c r="D158" s="217"/>
      <c r="E158" s="217"/>
      <c r="F158" s="217"/>
      <c r="G158" s="217"/>
      <c r="H158" s="217"/>
      <c r="I158" s="217"/>
      <c r="J158" s="217"/>
      <c r="K158" s="217"/>
      <c r="L158" s="212"/>
      <c r="M158" s="212"/>
    </row>
    <row r="159" spans="1:13">
      <c r="A159" s="217"/>
      <c r="B159" s="347"/>
      <c r="C159" s="347"/>
      <c r="D159" s="347"/>
      <c r="E159" s="229"/>
      <c r="F159" s="347"/>
      <c r="G159" s="347"/>
      <c r="H159" s="347"/>
      <c r="I159" s="229"/>
      <c r="J159" s="347"/>
      <c r="K159" s="347"/>
      <c r="L159" s="347"/>
      <c r="M159" s="212"/>
    </row>
    <row r="160" spans="1:13">
      <c r="A160" s="234"/>
      <c r="B160" s="235"/>
      <c r="C160" s="235"/>
      <c r="D160" s="235"/>
      <c r="E160" s="235"/>
      <c r="F160" s="235"/>
      <c r="G160" s="235"/>
      <c r="H160" s="235"/>
      <c r="I160" s="235"/>
      <c r="J160" s="235"/>
      <c r="K160" s="235"/>
      <c r="L160" s="235"/>
      <c r="M160" s="212"/>
    </row>
    <row r="161" spans="1:13">
      <c r="A161" s="234"/>
      <c r="B161" s="235"/>
      <c r="C161" s="235"/>
      <c r="D161" s="235"/>
      <c r="E161" s="235"/>
      <c r="F161" s="235"/>
      <c r="G161" s="235"/>
      <c r="H161" s="235"/>
      <c r="I161" s="235"/>
      <c r="J161" s="235"/>
      <c r="K161" s="235"/>
      <c r="L161" s="235"/>
      <c r="M161" s="212"/>
    </row>
    <row r="162" spans="1:13">
      <c r="A162" s="213"/>
      <c r="B162" s="278"/>
      <c r="C162" s="278"/>
      <c r="D162" s="278"/>
      <c r="E162" s="279"/>
      <c r="F162" s="278"/>
      <c r="G162" s="278"/>
      <c r="H162" s="278"/>
      <c r="I162" s="279"/>
      <c r="J162" s="278"/>
      <c r="K162" s="278"/>
      <c r="L162" s="278"/>
      <c r="M162" s="212"/>
    </row>
    <row r="163" spans="1:13">
      <c r="A163" s="213"/>
      <c r="B163" s="278"/>
      <c r="C163" s="278"/>
      <c r="D163" s="278"/>
      <c r="E163" s="279"/>
      <c r="F163" s="278"/>
      <c r="G163" s="278"/>
      <c r="H163" s="278"/>
      <c r="I163" s="279"/>
      <c r="J163" s="278"/>
      <c r="K163" s="278"/>
      <c r="L163" s="278"/>
      <c r="M163" s="212"/>
    </row>
    <row r="164" spans="1:13">
      <c r="A164" s="213"/>
      <c r="B164" s="278"/>
      <c r="C164" s="278"/>
      <c r="D164" s="278"/>
      <c r="E164" s="279"/>
      <c r="F164" s="278"/>
      <c r="G164" s="278"/>
      <c r="H164" s="278"/>
      <c r="I164" s="279"/>
      <c r="J164" s="278"/>
      <c r="K164" s="278"/>
      <c r="L164" s="278"/>
      <c r="M164" s="212"/>
    </row>
    <row r="165" spans="1:13">
      <c r="A165" s="213"/>
      <c r="B165" s="278"/>
      <c r="C165" s="278"/>
      <c r="D165" s="278"/>
      <c r="E165" s="279"/>
      <c r="F165" s="278"/>
      <c r="G165" s="278"/>
      <c r="H165" s="278"/>
      <c r="I165" s="279"/>
      <c r="J165" s="278"/>
      <c r="K165" s="278"/>
      <c r="L165" s="278"/>
      <c r="M165" s="212"/>
    </row>
    <row r="166" spans="1:13">
      <c r="A166" s="213"/>
      <c r="B166" s="278"/>
      <c r="C166" s="278"/>
      <c r="D166" s="278"/>
      <c r="E166" s="279"/>
      <c r="F166" s="278"/>
      <c r="G166" s="278"/>
      <c r="H166" s="278"/>
      <c r="I166" s="279"/>
      <c r="J166" s="278"/>
      <c r="K166" s="278"/>
      <c r="L166" s="278"/>
      <c r="M166" s="212"/>
    </row>
    <row r="167" spans="1:13">
      <c r="A167" s="213"/>
      <c r="B167" s="278"/>
      <c r="C167" s="278"/>
      <c r="D167" s="278"/>
      <c r="E167" s="279"/>
      <c r="F167" s="278"/>
      <c r="G167" s="278"/>
      <c r="H167" s="278"/>
      <c r="I167" s="279"/>
      <c r="J167" s="278"/>
      <c r="K167" s="278"/>
      <c r="L167" s="278"/>
      <c r="M167" s="212"/>
    </row>
    <row r="168" spans="1:13">
      <c r="A168" s="213"/>
      <c r="B168" s="278"/>
      <c r="C168" s="278"/>
      <c r="D168" s="278"/>
      <c r="E168" s="279"/>
      <c r="F168" s="278"/>
      <c r="G168" s="278"/>
      <c r="H168" s="278"/>
      <c r="I168" s="279"/>
      <c r="J168" s="278"/>
      <c r="K168" s="278"/>
      <c r="L168" s="278"/>
      <c r="M168" s="212"/>
    </row>
    <row r="169" spans="1:13">
      <c r="A169" s="213"/>
      <c r="B169" s="278"/>
      <c r="C169" s="278"/>
      <c r="D169" s="278"/>
      <c r="E169" s="279"/>
      <c r="F169" s="278"/>
      <c r="G169" s="278"/>
      <c r="H169" s="278"/>
      <c r="I169" s="279"/>
      <c r="J169" s="278"/>
      <c r="K169" s="278"/>
      <c r="L169" s="278"/>
      <c r="M169" s="212"/>
    </row>
    <row r="170" spans="1:13">
      <c r="A170" s="213"/>
      <c r="B170" s="278"/>
      <c r="C170" s="278"/>
      <c r="D170" s="278"/>
      <c r="E170" s="279"/>
      <c r="F170" s="278"/>
      <c r="G170" s="278"/>
      <c r="H170" s="278"/>
      <c r="I170" s="279"/>
      <c r="J170" s="278"/>
      <c r="K170" s="278"/>
      <c r="L170" s="278"/>
      <c r="M170" s="212"/>
    </row>
    <row r="171" spans="1:13">
      <c r="A171" s="213"/>
      <c r="B171" s="278"/>
      <c r="C171" s="278"/>
      <c r="D171" s="278"/>
      <c r="E171" s="279"/>
      <c r="F171" s="278"/>
      <c r="G171" s="278"/>
      <c r="H171" s="278"/>
      <c r="I171" s="279"/>
      <c r="J171" s="278"/>
      <c r="K171" s="278"/>
      <c r="L171" s="278"/>
      <c r="M171" s="212"/>
    </row>
    <row r="172" spans="1:13">
      <c r="A172" s="213"/>
      <c r="B172" s="279"/>
      <c r="C172" s="279"/>
      <c r="D172" s="279"/>
      <c r="E172" s="279"/>
      <c r="F172" s="279"/>
      <c r="G172" s="279"/>
      <c r="H172" s="279"/>
      <c r="I172" s="279"/>
      <c r="J172" s="279"/>
      <c r="K172" s="279"/>
      <c r="L172" s="279"/>
      <c r="M172" s="212"/>
    </row>
    <row r="173" spans="1:13">
      <c r="A173" s="213"/>
      <c r="B173" s="213"/>
      <c r="C173" s="213"/>
      <c r="D173" s="213"/>
      <c r="E173" s="213"/>
      <c r="F173" s="213"/>
      <c r="G173" s="213"/>
      <c r="H173" s="213"/>
      <c r="I173" s="213"/>
      <c r="J173" s="213"/>
      <c r="K173" s="213"/>
      <c r="L173" s="216"/>
      <c r="M173" s="212"/>
    </row>
    <row r="174" spans="1:13">
      <c r="A174" s="213"/>
      <c r="B174" s="213"/>
      <c r="C174" s="213"/>
      <c r="D174" s="213"/>
      <c r="E174" s="213"/>
      <c r="F174" s="213"/>
      <c r="G174" s="213"/>
      <c r="H174" s="213"/>
      <c r="I174" s="213"/>
      <c r="J174" s="213"/>
      <c r="K174" s="213"/>
      <c r="L174" s="260"/>
      <c r="M174" s="212"/>
    </row>
    <row r="175" spans="1:13">
      <c r="A175" s="234"/>
      <c r="B175" s="217"/>
      <c r="C175" s="217"/>
      <c r="D175" s="217"/>
      <c r="E175" s="217"/>
      <c r="F175" s="217"/>
      <c r="G175" s="217"/>
      <c r="H175" s="217"/>
      <c r="I175" s="217"/>
      <c r="J175" s="217"/>
      <c r="K175" s="217"/>
      <c r="L175" s="212"/>
      <c r="M175" s="212"/>
    </row>
    <row r="176" spans="1:13">
      <c r="A176" s="217"/>
      <c r="B176" s="347"/>
      <c r="C176" s="347"/>
      <c r="D176" s="347"/>
      <c r="E176" s="229"/>
      <c r="F176" s="347"/>
      <c r="G176" s="347"/>
      <c r="H176" s="347"/>
      <c r="I176" s="229"/>
      <c r="J176" s="347"/>
      <c r="K176" s="347"/>
      <c r="L176" s="347"/>
      <c r="M176" s="212"/>
    </row>
    <row r="177" spans="1:13">
      <c r="A177" s="234"/>
      <c r="B177" s="235"/>
      <c r="C177" s="235"/>
      <c r="D177" s="235"/>
      <c r="E177" s="235"/>
      <c r="F177" s="235"/>
      <c r="G177" s="235"/>
      <c r="H177" s="235"/>
      <c r="I177" s="235"/>
      <c r="J177" s="235"/>
      <c r="K177" s="235"/>
      <c r="L177" s="235"/>
      <c r="M177" s="212"/>
    </row>
    <row r="178" spans="1:13">
      <c r="A178" s="234"/>
      <c r="B178" s="235"/>
      <c r="C178" s="235"/>
      <c r="D178" s="235"/>
      <c r="E178" s="235"/>
      <c r="F178" s="235"/>
      <c r="G178" s="235"/>
      <c r="H178" s="235"/>
      <c r="I178" s="235"/>
      <c r="J178" s="235"/>
      <c r="K178" s="235"/>
      <c r="L178" s="235"/>
      <c r="M178" s="212"/>
    </row>
    <row r="179" spans="1:13">
      <c r="A179" s="213"/>
      <c r="B179" s="278"/>
      <c r="C179" s="278"/>
      <c r="D179" s="278"/>
      <c r="E179" s="279"/>
      <c r="F179" s="278"/>
      <c r="G179" s="278"/>
      <c r="H179" s="278"/>
      <c r="I179" s="279"/>
      <c r="J179" s="278"/>
      <c r="K179" s="278"/>
      <c r="L179" s="278"/>
      <c r="M179" s="212"/>
    </row>
    <row r="180" spans="1:13">
      <c r="A180" s="213"/>
      <c r="B180" s="278"/>
      <c r="C180" s="278"/>
      <c r="D180" s="278"/>
      <c r="E180" s="279"/>
      <c r="F180" s="278"/>
      <c r="G180" s="278"/>
      <c r="H180" s="278"/>
      <c r="I180" s="279"/>
      <c r="J180" s="278"/>
      <c r="K180" s="278"/>
      <c r="L180" s="278"/>
      <c r="M180" s="212"/>
    </row>
    <row r="181" spans="1:13">
      <c r="A181" s="213"/>
      <c r="B181" s="278"/>
      <c r="C181" s="278"/>
      <c r="D181" s="278"/>
      <c r="E181" s="279"/>
      <c r="F181" s="278"/>
      <c r="G181" s="278"/>
      <c r="H181" s="278"/>
      <c r="I181" s="279"/>
      <c r="J181" s="278"/>
      <c r="K181" s="278"/>
      <c r="L181" s="278"/>
      <c r="M181" s="212"/>
    </row>
    <row r="182" spans="1:13">
      <c r="A182" s="213"/>
      <c r="B182" s="278"/>
      <c r="C182" s="278"/>
      <c r="D182" s="278"/>
      <c r="E182" s="279"/>
      <c r="F182" s="278"/>
      <c r="G182" s="278"/>
      <c r="H182" s="278"/>
      <c r="I182" s="279"/>
      <c r="J182" s="278"/>
      <c r="K182" s="278"/>
      <c r="L182" s="278"/>
      <c r="M182" s="212"/>
    </row>
    <row r="183" spans="1:13">
      <c r="A183" s="213"/>
      <c r="B183" s="278"/>
      <c r="C183" s="278"/>
      <c r="D183" s="278"/>
      <c r="E183" s="279"/>
      <c r="F183" s="278"/>
      <c r="G183" s="278"/>
      <c r="H183" s="278"/>
      <c r="I183" s="279"/>
      <c r="J183" s="278"/>
      <c r="K183" s="278"/>
      <c r="L183" s="278"/>
      <c r="M183" s="212"/>
    </row>
    <row r="184" spans="1:13">
      <c r="A184" s="213"/>
      <c r="B184" s="278"/>
      <c r="C184" s="278"/>
      <c r="D184" s="278"/>
      <c r="E184" s="279"/>
      <c r="F184" s="278"/>
      <c r="G184" s="278"/>
      <c r="H184" s="278"/>
      <c r="I184" s="279"/>
      <c r="J184" s="278"/>
      <c r="K184" s="278"/>
      <c r="L184" s="278"/>
      <c r="M184" s="212"/>
    </row>
    <row r="185" spans="1:13">
      <c r="A185" s="213"/>
      <c r="B185" s="278"/>
      <c r="C185" s="278"/>
      <c r="D185" s="278"/>
      <c r="E185" s="279"/>
      <c r="F185" s="278"/>
      <c r="G185" s="278"/>
      <c r="H185" s="278"/>
      <c r="I185" s="279"/>
      <c r="J185" s="278"/>
      <c r="K185" s="278"/>
      <c r="L185" s="278"/>
      <c r="M185" s="212"/>
    </row>
    <row r="186" spans="1:13">
      <c r="A186" s="213"/>
      <c r="B186" s="278"/>
      <c r="C186" s="278"/>
      <c r="D186" s="278"/>
      <c r="E186" s="279"/>
      <c r="F186" s="278"/>
      <c r="G186" s="278"/>
      <c r="H186" s="278"/>
      <c r="I186" s="279"/>
      <c r="J186" s="278"/>
      <c r="K186" s="278"/>
      <c r="L186" s="278"/>
      <c r="M186" s="212"/>
    </row>
    <row r="187" spans="1:13">
      <c r="A187" s="213"/>
      <c r="B187" s="278"/>
      <c r="C187" s="278"/>
      <c r="D187" s="278"/>
      <c r="E187" s="279"/>
      <c r="F187" s="278"/>
      <c r="G187" s="278"/>
      <c r="H187" s="278"/>
      <c r="I187" s="279"/>
      <c r="J187" s="278"/>
      <c r="K187" s="278"/>
      <c r="L187" s="278"/>
      <c r="M187" s="212"/>
    </row>
    <row r="188" spans="1:13">
      <c r="A188" s="213"/>
      <c r="B188" s="278"/>
      <c r="C188" s="278"/>
      <c r="D188" s="278"/>
      <c r="E188" s="279"/>
      <c r="F188" s="278"/>
      <c r="G188" s="278"/>
      <c r="H188" s="278"/>
      <c r="I188" s="279"/>
      <c r="J188" s="278"/>
      <c r="K188" s="278"/>
      <c r="L188" s="278"/>
      <c r="M188" s="212"/>
    </row>
    <row r="189" spans="1:13">
      <c r="A189" s="213"/>
      <c r="B189" s="279"/>
      <c r="C189" s="279"/>
      <c r="D189" s="279"/>
      <c r="E189" s="279"/>
      <c r="F189" s="279"/>
      <c r="G189" s="279"/>
      <c r="H189" s="279"/>
      <c r="I189" s="279"/>
      <c r="J189" s="279"/>
      <c r="K189" s="279"/>
      <c r="L189" s="279"/>
      <c r="M189" s="212"/>
    </row>
    <row r="190" spans="1:13">
      <c r="A190" s="213"/>
      <c r="B190" s="213"/>
      <c r="C190" s="213"/>
      <c r="D190" s="213"/>
      <c r="E190" s="213"/>
      <c r="F190" s="213"/>
      <c r="G190" s="213"/>
      <c r="H190" s="213"/>
      <c r="I190" s="213"/>
      <c r="J190" s="213"/>
      <c r="K190" s="213"/>
      <c r="L190" s="216"/>
      <c r="M190" s="212"/>
    </row>
    <row r="191" spans="1:13">
      <c r="A191" s="213"/>
      <c r="B191" s="213"/>
      <c r="C191" s="213"/>
      <c r="D191" s="213"/>
      <c r="E191" s="213"/>
      <c r="F191" s="213"/>
      <c r="G191" s="213"/>
      <c r="H191" s="213"/>
      <c r="I191" s="213"/>
      <c r="J191" s="213"/>
      <c r="K191" s="213"/>
      <c r="L191" s="260"/>
      <c r="M191" s="212"/>
    </row>
    <row r="192" spans="1:13">
      <c r="A192" s="234"/>
      <c r="B192" s="217"/>
      <c r="C192" s="217"/>
      <c r="D192" s="217"/>
      <c r="E192" s="217"/>
      <c r="F192" s="217"/>
      <c r="G192" s="217"/>
      <c r="H192" s="217"/>
      <c r="I192" s="217"/>
      <c r="J192" s="217"/>
      <c r="K192" s="217"/>
      <c r="L192" s="212"/>
      <c r="M192" s="212"/>
    </row>
    <row r="193" spans="1:13">
      <c r="A193" s="217"/>
      <c r="B193" s="347"/>
      <c r="C193" s="347"/>
      <c r="D193" s="347"/>
      <c r="E193" s="229"/>
      <c r="F193" s="347"/>
      <c r="G193" s="347"/>
      <c r="H193" s="347"/>
      <c r="I193" s="229"/>
      <c r="J193" s="347"/>
      <c r="K193" s="347"/>
      <c r="L193" s="347"/>
      <c r="M193" s="212"/>
    </row>
    <row r="194" spans="1:13">
      <c r="A194" s="234"/>
      <c r="B194" s="235"/>
      <c r="C194" s="235"/>
      <c r="D194" s="235"/>
      <c r="E194" s="235"/>
      <c r="F194" s="235"/>
      <c r="G194" s="235"/>
      <c r="H194" s="235"/>
      <c r="I194" s="235"/>
      <c r="J194" s="235"/>
      <c r="K194" s="235"/>
      <c r="L194" s="235"/>
      <c r="M194" s="212"/>
    </row>
    <row r="195" spans="1:13">
      <c r="A195" s="234"/>
      <c r="B195" s="235"/>
      <c r="C195" s="235"/>
      <c r="D195" s="235"/>
      <c r="E195" s="235"/>
      <c r="F195" s="235"/>
      <c r="G195" s="235"/>
      <c r="H195" s="235"/>
      <c r="I195" s="235"/>
      <c r="J195" s="235"/>
      <c r="K195" s="235"/>
      <c r="L195" s="235"/>
      <c r="M195" s="212"/>
    </row>
    <row r="196" spans="1:13">
      <c r="A196" s="213"/>
      <c r="B196" s="278"/>
      <c r="C196" s="278"/>
      <c r="D196" s="278"/>
      <c r="E196" s="279"/>
      <c r="F196" s="278"/>
      <c r="G196" s="278"/>
      <c r="H196" s="278"/>
      <c r="I196" s="279"/>
      <c r="J196" s="278"/>
      <c r="K196" s="278"/>
      <c r="L196" s="278"/>
      <c r="M196" s="212"/>
    </row>
    <row r="197" spans="1:13">
      <c r="A197" s="213"/>
      <c r="B197" s="278"/>
      <c r="C197" s="278"/>
      <c r="D197" s="278"/>
      <c r="E197" s="279"/>
      <c r="F197" s="278"/>
      <c r="G197" s="278"/>
      <c r="H197" s="278"/>
      <c r="I197" s="279"/>
      <c r="J197" s="278"/>
      <c r="K197" s="278"/>
      <c r="L197" s="278"/>
      <c r="M197" s="212"/>
    </row>
    <row r="198" spans="1:13">
      <c r="A198" s="213"/>
      <c r="B198" s="278"/>
      <c r="C198" s="278"/>
      <c r="D198" s="278"/>
      <c r="E198" s="279"/>
      <c r="F198" s="278"/>
      <c r="G198" s="278"/>
      <c r="H198" s="278"/>
      <c r="I198" s="279"/>
      <c r="J198" s="278"/>
      <c r="K198" s="278"/>
      <c r="L198" s="278"/>
      <c r="M198" s="212"/>
    </row>
    <row r="199" spans="1:13">
      <c r="A199" s="213"/>
      <c r="B199" s="278"/>
      <c r="C199" s="278"/>
      <c r="D199" s="278"/>
      <c r="E199" s="279"/>
      <c r="F199" s="278"/>
      <c r="G199" s="278"/>
      <c r="H199" s="278"/>
      <c r="I199" s="279"/>
      <c r="J199" s="278"/>
      <c r="K199" s="278"/>
      <c r="L199" s="278"/>
      <c r="M199" s="212"/>
    </row>
    <row r="200" spans="1:13">
      <c r="A200" s="213"/>
      <c r="B200" s="278"/>
      <c r="C200" s="278"/>
      <c r="D200" s="278"/>
      <c r="E200" s="279"/>
      <c r="F200" s="278"/>
      <c r="G200" s="278"/>
      <c r="H200" s="278"/>
      <c r="I200" s="279"/>
      <c r="J200" s="278"/>
      <c r="K200" s="278"/>
      <c r="L200" s="278"/>
      <c r="M200" s="212"/>
    </row>
    <row r="201" spans="1:13">
      <c r="A201" s="213"/>
      <c r="B201" s="278"/>
      <c r="C201" s="278"/>
      <c r="D201" s="278"/>
      <c r="E201" s="279"/>
      <c r="F201" s="278"/>
      <c r="G201" s="278"/>
      <c r="H201" s="278"/>
      <c r="I201" s="279"/>
      <c r="J201" s="278"/>
      <c r="K201" s="278"/>
      <c r="L201" s="278"/>
      <c r="M201" s="212"/>
    </row>
    <row r="202" spans="1:13">
      <c r="A202" s="213"/>
      <c r="B202" s="278"/>
      <c r="C202" s="278"/>
      <c r="D202" s="278"/>
      <c r="E202" s="279"/>
      <c r="F202" s="278"/>
      <c r="G202" s="278"/>
      <c r="H202" s="278"/>
      <c r="I202" s="279"/>
      <c r="J202" s="278"/>
      <c r="K202" s="278"/>
      <c r="L202" s="278"/>
      <c r="M202" s="212"/>
    </row>
    <row r="203" spans="1:13">
      <c r="A203" s="213"/>
      <c r="B203" s="278"/>
      <c r="C203" s="278"/>
      <c r="D203" s="278"/>
      <c r="E203" s="279"/>
      <c r="F203" s="278"/>
      <c r="G203" s="278"/>
      <c r="H203" s="278"/>
      <c r="I203" s="279"/>
      <c r="J203" s="278"/>
      <c r="K203" s="278"/>
      <c r="L203" s="278"/>
      <c r="M203" s="212"/>
    </row>
    <row r="204" spans="1:13">
      <c r="A204" s="213"/>
      <c r="B204" s="278"/>
      <c r="C204" s="278"/>
      <c r="D204" s="278"/>
      <c r="E204" s="279"/>
      <c r="F204" s="278"/>
      <c r="G204" s="278"/>
      <c r="H204" s="278"/>
      <c r="I204" s="279"/>
      <c r="J204" s="278"/>
      <c r="K204" s="278"/>
      <c r="L204" s="278"/>
      <c r="M204" s="212"/>
    </row>
    <row r="205" spans="1:13">
      <c r="A205" s="213"/>
      <c r="B205" s="278"/>
      <c r="C205" s="278"/>
      <c r="D205" s="278"/>
      <c r="E205" s="279"/>
      <c r="F205" s="278"/>
      <c r="G205" s="278"/>
      <c r="H205" s="278"/>
      <c r="I205" s="279"/>
      <c r="J205" s="278"/>
      <c r="K205" s="278"/>
      <c r="L205" s="278"/>
      <c r="M205" s="212"/>
    </row>
    <row r="206" spans="1:13">
      <c r="A206" s="213"/>
      <c r="B206" s="279"/>
      <c r="C206" s="279"/>
      <c r="D206" s="279"/>
      <c r="E206" s="279"/>
      <c r="F206" s="279"/>
      <c r="G206" s="279"/>
      <c r="H206" s="279"/>
      <c r="I206" s="279"/>
      <c r="J206" s="279"/>
      <c r="K206" s="279"/>
      <c r="L206" s="279"/>
      <c r="M206" s="212"/>
    </row>
    <row r="207" spans="1:13">
      <c r="A207" s="213"/>
      <c r="B207" s="213"/>
      <c r="C207" s="213"/>
      <c r="D207" s="213"/>
      <c r="E207" s="213"/>
      <c r="F207" s="213"/>
      <c r="G207" s="213"/>
      <c r="H207" s="213"/>
      <c r="I207" s="213"/>
      <c r="J207" s="213"/>
      <c r="K207" s="213"/>
      <c r="L207" s="216"/>
      <c r="M207" s="212"/>
    </row>
    <row r="208" spans="1:13">
      <c r="A208" s="213"/>
      <c r="B208" s="213"/>
      <c r="C208" s="213"/>
      <c r="D208" s="213"/>
      <c r="E208" s="213"/>
      <c r="F208" s="213"/>
      <c r="G208" s="213"/>
      <c r="H208" s="213"/>
      <c r="I208" s="213"/>
      <c r="J208" s="213"/>
      <c r="K208" s="213"/>
      <c r="L208" s="260"/>
      <c r="M208" s="212"/>
    </row>
    <row r="209" spans="1:13">
      <c r="A209" s="234"/>
      <c r="B209" s="217"/>
      <c r="C209" s="217"/>
      <c r="D209" s="217"/>
      <c r="E209" s="217"/>
      <c r="F209" s="217"/>
      <c r="G209" s="217"/>
      <c r="H209" s="217"/>
      <c r="I209" s="217"/>
      <c r="J209" s="217"/>
      <c r="K209" s="217"/>
      <c r="L209" s="212"/>
      <c r="M209" s="212"/>
    </row>
    <row r="210" spans="1:13">
      <c r="A210" s="217"/>
      <c r="B210" s="347"/>
      <c r="C210" s="347"/>
      <c r="D210" s="347"/>
      <c r="E210" s="229"/>
      <c r="F210" s="347"/>
      <c r="G210" s="347"/>
      <c r="H210" s="347"/>
      <c r="I210" s="229"/>
      <c r="J210" s="347"/>
      <c r="K210" s="347"/>
      <c r="L210" s="347"/>
      <c r="M210" s="212"/>
    </row>
    <row r="211" spans="1:13">
      <c r="A211" s="234"/>
      <c r="B211" s="235"/>
      <c r="C211" s="235"/>
      <c r="D211" s="235"/>
      <c r="E211" s="235"/>
      <c r="F211" s="235"/>
      <c r="G211" s="235"/>
      <c r="H211" s="235"/>
      <c r="I211" s="235"/>
      <c r="J211" s="235"/>
      <c r="K211" s="235"/>
      <c r="L211" s="235"/>
      <c r="M211" s="212"/>
    </row>
    <row r="212" spans="1:13">
      <c r="A212" s="234"/>
      <c r="B212" s="235"/>
      <c r="C212" s="235"/>
      <c r="D212" s="235"/>
      <c r="E212" s="235"/>
      <c r="F212" s="235"/>
      <c r="G212" s="235"/>
      <c r="H212" s="235"/>
      <c r="I212" s="235"/>
      <c r="J212" s="235"/>
      <c r="K212" s="235"/>
      <c r="L212" s="235"/>
      <c r="M212" s="212"/>
    </row>
    <row r="213" spans="1:13">
      <c r="A213" s="213"/>
      <c r="B213" s="278"/>
      <c r="C213" s="278"/>
      <c r="D213" s="278"/>
      <c r="E213" s="279"/>
      <c r="F213" s="278"/>
      <c r="G213" s="278"/>
      <c r="H213" s="278"/>
      <c r="I213" s="279"/>
      <c r="J213" s="278"/>
      <c r="K213" s="278"/>
      <c r="L213" s="278"/>
      <c r="M213" s="212"/>
    </row>
    <row r="214" spans="1:13">
      <c r="A214" s="213"/>
      <c r="B214" s="278"/>
      <c r="C214" s="278"/>
      <c r="D214" s="278"/>
      <c r="E214" s="279"/>
      <c r="F214" s="278"/>
      <c r="G214" s="278"/>
      <c r="H214" s="278"/>
      <c r="I214" s="279"/>
      <c r="J214" s="278"/>
      <c r="K214" s="278"/>
      <c r="L214" s="278"/>
      <c r="M214" s="212"/>
    </row>
    <row r="215" spans="1:13">
      <c r="A215" s="213"/>
      <c r="B215" s="278"/>
      <c r="C215" s="278"/>
      <c r="D215" s="278"/>
      <c r="E215" s="279"/>
      <c r="F215" s="278"/>
      <c r="G215" s="278"/>
      <c r="H215" s="278"/>
      <c r="I215" s="279"/>
      <c r="J215" s="278"/>
      <c r="K215" s="278"/>
      <c r="L215" s="278"/>
      <c r="M215" s="212"/>
    </row>
    <row r="216" spans="1:13">
      <c r="A216" s="213"/>
      <c r="B216" s="278"/>
      <c r="C216" s="278"/>
      <c r="D216" s="278"/>
      <c r="E216" s="279"/>
      <c r="F216" s="278"/>
      <c r="G216" s="278"/>
      <c r="H216" s="278"/>
      <c r="I216" s="279"/>
      <c r="J216" s="278"/>
      <c r="K216" s="278"/>
      <c r="L216" s="278"/>
      <c r="M216" s="212"/>
    </row>
    <row r="217" spans="1:13">
      <c r="A217" s="213"/>
      <c r="B217" s="278"/>
      <c r="C217" s="278"/>
      <c r="D217" s="278"/>
      <c r="E217" s="279"/>
      <c r="F217" s="278"/>
      <c r="G217" s="278"/>
      <c r="H217" s="278"/>
      <c r="I217" s="279"/>
      <c r="J217" s="278"/>
      <c r="K217" s="278"/>
      <c r="L217" s="278"/>
      <c r="M217" s="212"/>
    </row>
    <row r="218" spans="1:13">
      <c r="A218" s="213"/>
      <c r="B218" s="278"/>
      <c r="C218" s="278"/>
      <c r="D218" s="278"/>
      <c r="E218" s="279"/>
      <c r="F218" s="278"/>
      <c r="G218" s="278"/>
      <c r="H218" s="278"/>
      <c r="I218" s="279"/>
      <c r="J218" s="278"/>
      <c r="K218" s="278"/>
      <c r="L218" s="278"/>
      <c r="M218" s="212"/>
    </row>
    <row r="219" spans="1:13">
      <c r="A219" s="213"/>
      <c r="B219" s="278"/>
      <c r="C219" s="278"/>
      <c r="D219" s="278"/>
      <c r="E219" s="279"/>
      <c r="F219" s="278"/>
      <c r="G219" s="278"/>
      <c r="H219" s="278"/>
      <c r="I219" s="279"/>
      <c r="J219" s="278"/>
      <c r="K219" s="278"/>
      <c r="L219" s="278"/>
      <c r="M219" s="212"/>
    </row>
    <row r="220" spans="1:13">
      <c r="A220" s="213"/>
      <c r="B220" s="278"/>
      <c r="C220" s="278"/>
      <c r="D220" s="278"/>
      <c r="E220" s="279"/>
      <c r="F220" s="278"/>
      <c r="G220" s="278"/>
      <c r="H220" s="278"/>
      <c r="I220" s="279"/>
      <c r="J220" s="278"/>
      <c r="K220" s="278"/>
      <c r="L220" s="278"/>
      <c r="M220" s="212"/>
    </row>
    <row r="221" spans="1:13">
      <c r="A221" s="213"/>
      <c r="B221" s="278"/>
      <c r="C221" s="278"/>
      <c r="D221" s="278"/>
      <c r="E221" s="279"/>
      <c r="F221" s="278"/>
      <c r="G221" s="278"/>
      <c r="H221" s="278"/>
      <c r="I221" s="279"/>
      <c r="J221" s="278"/>
      <c r="K221" s="278"/>
      <c r="L221" s="278"/>
      <c r="M221" s="212"/>
    </row>
    <row r="222" spans="1:13">
      <c r="A222" s="213"/>
      <c r="B222" s="278"/>
      <c r="C222" s="278"/>
      <c r="D222" s="278"/>
      <c r="E222" s="279"/>
      <c r="F222" s="278"/>
      <c r="G222" s="278"/>
      <c r="H222" s="278"/>
      <c r="I222" s="279"/>
      <c r="J222" s="278"/>
      <c r="K222" s="278"/>
      <c r="L222" s="278"/>
      <c r="M222" s="212"/>
    </row>
    <row r="223" spans="1:13">
      <c r="A223" s="213"/>
      <c r="B223" s="279"/>
      <c r="C223" s="279"/>
      <c r="D223" s="279"/>
      <c r="E223" s="279"/>
      <c r="F223" s="279"/>
      <c r="G223" s="279"/>
      <c r="H223" s="279"/>
      <c r="I223" s="279"/>
      <c r="J223" s="279"/>
      <c r="K223" s="279"/>
      <c r="L223" s="279"/>
      <c r="M223" s="212"/>
    </row>
    <row r="224" spans="1:13">
      <c r="A224" s="213"/>
      <c r="B224" s="213"/>
      <c r="C224" s="213"/>
      <c r="D224" s="213"/>
      <c r="E224" s="213"/>
      <c r="F224" s="213"/>
      <c r="G224" s="213"/>
      <c r="H224" s="213"/>
      <c r="I224" s="213"/>
      <c r="J224" s="213"/>
      <c r="K224" s="213"/>
      <c r="L224" s="216"/>
      <c r="M224" s="212"/>
    </row>
    <row r="225" spans="1:13">
      <c r="A225" s="213"/>
      <c r="B225" s="213"/>
      <c r="C225" s="213"/>
      <c r="D225" s="213"/>
      <c r="E225" s="213"/>
      <c r="F225" s="213"/>
      <c r="G225" s="213"/>
      <c r="H225" s="213"/>
      <c r="I225" s="213"/>
      <c r="J225" s="213"/>
      <c r="K225" s="213"/>
      <c r="L225" s="260"/>
      <c r="M225" s="212"/>
    </row>
    <row r="226" spans="1:13">
      <c r="A226" s="234"/>
      <c r="B226" s="217"/>
      <c r="C226" s="217"/>
      <c r="D226" s="217"/>
      <c r="E226" s="217"/>
      <c r="F226" s="217"/>
      <c r="G226" s="217"/>
      <c r="H226" s="217"/>
      <c r="I226" s="217"/>
      <c r="J226" s="217"/>
      <c r="K226" s="217"/>
      <c r="L226" s="212"/>
      <c r="M226" s="212"/>
    </row>
    <row r="227" spans="1:13">
      <c r="A227" s="217"/>
      <c r="B227" s="347"/>
      <c r="C227" s="347"/>
      <c r="D227" s="347"/>
      <c r="E227" s="229"/>
      <c r="F227" s="347"/>
      <c r="G227" s="347"/>
      <c r="H227" s="347"/>
      <c r="I227" s="229"/>
      <c r="J227" s="347"/>
      <c r="K227" s="347"/>
      <c r="L227" s="347"/>
      <c r="M227" s="212"/>
    </row>
    <row r="228" spans="1:13">
      <c r="A228" s="234"/>
      <c r="B228" s="235"/>
      <c r="C228" s="235"/>
      <c r="D228" s="235"/>
      <c r="E228" s="235"/>
      <c r="F228" s="235"/>
      <c r="G228" s="235"/>
      <c r="H228" s="235"/>
      <c r="I228" s="235"/>
      <c r="J228" s="235"/>
      <c r="K228" s="235"/>
      <c r="L228" s="235"/>
      <c r="M228" s="212"/>
    </row>
    <row r="229" spans="1:13">
      <c r="A229" s="234"/>
      <c r="B229" s="235"/>
      <c r="C229" s="235"/>
      <c r="D229" s="235"/>
      <c r="E229" s="235"/>
      <c r="F229" s="235"/>
      <c r="G229" s="235"/>
      <c r="H229" s="235"/>
      <c r="I229" s="235"/>
      <c r="J229" s="235"/>
      <c r="K229" s="235"/>
      <c r="L229" s="235"/>
      <c r="M229" s="212"/>
    </row>
    <row r="230" spans="1:13">
      <c r="A230" s="213"/>
      <c r="B230" s="278"/>
      <c r="C230" s="278"/>
      <c r="D230" s="278"/>
      <c r="E230" s="279"/>
      <c r="F230" s="278"/>
      <c r="G230" s="278"/>
      <c r="H230" s="278"/>
      <c r="I230" s="279"/>
      <c r="J230" s="278"/>
      <c r="K230" s="278"/>
      <c r="L230" s="278"/>
      <c r="M230" s="212"/>
    </row>
    <row r="231" spans="1:13">
      <c r="A231" s="213"/>
      <c r="B231" s="278"/>
      <c r="C231" s="278"/>
      <c r="D231" s="278"/>
      <c r="E231" s="279"/>
      <c r="F231" s="278"/>
      <c r="G231" s="278"/>
      <c r="H231" s="278"/>
      <c r="I231" s="279"/>
      <c r="J231" s="278"/>
      <c r="K231" s="278"/>
      <c r="L231" s="278"/>
      <c r="M231" s="212"/>
    </row>
    <row r="232" spans="1:13">
      <c r="A232" s="213"/>
      <c r="B232" s="278"/>
      <c r="C232" s="278"/>
      <c r="D232" s="278"/>
      <c r="E232" s="279"/>
      <c r="F232" s="278"/>
      <c r="G232" s="278"/>
      <c r="H232" s="278"/>
      <c r="I232" s="279"/>
      <c r="J232" s="278"/>
      <c r="K232" s="278"/>
      <c r="L232" s="278"/>
      <c r="M232" s="212"/>
    </row>
    <row r="233" spans="1:13">
      <c r="A233" s="213"/>
      <c r="B233" s="278"/>
      <c r="C233" s="278"/>
      <c r="D233" s="278"/>
      <c r="E233" s="279"/>
      <c r="F233" s="278"/>
      <c r="G233" s="278"/>
      <c r="H233" s="278"/>
      <c r="I233" s="279"/>
      <c r="J233" s="278"/>
      <c r="K233" s="278"/>
      <c r="L233" s="278"/>
      <c r="M233" s="212"/>
    </row>
    <row r="234" spans="1:13">
      <c r="A234" s="213"/>
      <c r="B234" s="278"/>
      <c r="C234" s="278"/>
      <c r="D234" s="278"/>
      <c r="E234" s="279"/>
      <c r="F234" s="278"/>
      <c r="G234" s="278"/>
      <c r="H234" s="278"/>
      <c r="I234" s="279"/>
      <c r="J234" s="278"/>
      <c r="K234" s="278"/>
      <c r="L234" s="278"/>
      <c r="M234" s="212"/>
    </row>
    <row r="235" spans="1:13">
      <c r="A235" s="213"/>
      <c r="B235" s="278"/>
      <c r="C235" s="278"/>
      <c r="D235" s="278"/>
      <c r="E235" s="279"/>
      <c r="F235" s="278"/>
      <c r="G235" s="278"/>
      <c r="H235" s="278"/>
      <c r="I235" s="279"/>
      <c r="J235" s="278"/>
      <c r="K235" s="278"/>
      <c r="L235" s="278"/>
      <c r="M235" s="212"/>
    </row>
    <row r="236" spans="1:13">
      <c r="A236" s="213"/>
      <c r="B236" s="278"/>
      <c r="C236" s="278"/>
      <c r="D236" s="278"/>
      <c r="E236" s="279"/>
      <c r="F236" s="278"/>
      <c r="G236" s="278"/>
      <c r="H236" s="278"/>
      <c r="I236" s="279"/>
      <c r="J236" s="278"/>
      <c r="K236" s="278"/>
      <c r="L236" s="278"/>
      <c r="M236" s="212"/>
    </row>
    <row r="237" spans="1:13">
      <c r="A237" s="213"/>
      <c r="B237" s="278"/>
      <c r="C237" s="278"/>
      <c r="D237" s="278"/>
      <c r="E237" s="279"/>
      <c r="F237" s="278"/>
      <c r="G237" s="278"/>
      <c r="H237" s="278"/>
      <c r="I237" s="279"/>
      <c r="J237" s="278"/>
      <c r="K237" s="278"/>
      <c r="L237" s="278"/>
      <c r="M237" s="212"/>
    </row>
    <row r="238" spans="1:13">
      <c r="A238" s="213"/>
      <c r="B238" s="278"/>
      <c r="C238" s="278"/>
      <c r="D238" s="278"/>
      <c r="E238" s="279"/>
      <c r="F238" s="278"/>
      <c r="G238" s="278"/>
      <c r="H238" s="278"/>
      <c r="I238" s="279"/>
      <c r="J238" s="278"/>
      <c r="K238" s="278"/>
      <c r="L238" s="278"/>
      <c r="M238" s="212"/>
    </row>
    <row r="239" spans="1:13">
      <c r="A239" s="213"/>
      <c r="B239" s="278"/>
      <c r="C239" s="278"/>
      <c r="D239" s="278"/>
      <c r="E239" s="279"/>
      <c r="F239" s="278"/>
      <c r="G239" s="278"/>
      <c r="H239" s="278"/>
      <c r="I239" s="279"/>
      <c r="J239" s="278"/>
      <c r="K239" s="278"/>
      <c r="L239" s="278"/>
      <c r="M239" s="212"/>
    </row>
    <row r="240" spans="1:13">
      <c r="A240" s="213"/>
      <c r="B240" s="279"/>
      <c r="C240" s="279"/>
      <c r="D240" s="279"/>
      <c r="E240" s="279"/>
      <c r="F240" s="279"/>
      <c r="G240" s="279"/>
      <c r="H240" s="279"/>
      <c r="I240" s="279"/>
      <c r="J240" s="279"/>
      <c r="K240" s="279"/>
      <c r="L240" s="279"/>
      <c r="M240" s="212"/>
    </row>
    <row r="241" spans="1:13">
      <c r="A241" s="213"/>
      <c r="B241" s="213"/>
      <c r="C241" s="213"/>
      <c r="D241" s="213"/>
      <c r="E241" s="213"/>
      <c r="F241" s="213"/>
      <c r="G241" s="213"/>
      <c r="H241" s="213"/>
      <c r="I241" s="213"/>
      <c r="J241" s="213"/>
      <c r="K241" s="213"/>
      <c r="L241" s="216"/>
      <c r="M241" s="212"/>
    </row>
    <row r="242" spans="1:13">
      <c r="A242" s="213"/>
      <c r="B242" s="213"/>
      <c r="C242" s="213"/>
      <c r="D242" s="213"/>
      <c r="E242" s="213"/>
      <c r="F242" s="213"/>
      <c r="G242" s="213"/>
      <c r="H242" s="213"/>
      <c r="I242" s="213"/>
      <c r="J242" s="213"/>
      <c r="K242" s="213"/>
      <c r="L242" s="260"/>
      <c r="M242" s="212"/>
    </row>
    <row r="243" spans="1:13">
      <c r="A243" s="234"/>
      <c r="B243" s="217"/>
      <c r="C243" s="217"/>
      <c r="D243" s="217"/>
      <c r="E243" s="217"/>
      <c r="F243" s="217"/>
      <c r="G243" s="217"/>
      <c r="H243" s="217"/>
      <c r="I243" s="217"/>
      <c r="J243" s="217"/>
      <c r="K243" s="217"/>
      <c r="L243" s="212"/>
      <c r="M243" s="212"/>
    </row>
    <row r="244" spans="1:13">
      <c r="A244" s="217"/>
      <c r="B244" s="347"/>
      <c r="C244" s="347"/>
      <c r="D244" s="347"/>
      <c r="E244" s="229"/>
      <c r="F244" s="347"/>
      <c r="G244" s="347"/>
      <c r="H244" s="347"/>
      <c r="I244" s="229"/>
      <c r="J244" s="347"/>
      <c r="K244" s="347"/>
      <c r="L244" s="347"/>
      <c r="M244" s="212"/>
    </row>
    <row r="245" spans="1:13">
      <c r="A245" s="234"/>
      <c r="B245" s="235"/>
      <c r="C245" s="235"/>
      <c r="D245" s="235"/>
      <c r="E245" s="235"/>
      <c r="F245" s="235"/>
      <c r="G245" s="235"/>
      <c r="H245" s="235"/>
      <c r="I245" s="235"/>
      <c r="J245" s="235"/>
      <c r="K245" s="235"/>
      <c r="L245" s="235"/>
      <c r="M245" s="212"/>
    </row>
    <row r="246" spans="1:13">
      <c r="A246" s="234"/>
      <c r="B246" s="235"/>
      <c r="C246" s="235"/>
      <c r="D246" s="235"/>
      <c r="E246" s="235"/>
      <c r="F246" s="235"/>
      <c r="G246" s="235"/>
      <c r="H246" s="235"/>
      <c r="I246" s="235"/>
      <c r="J246" s="235"/>
      <c r="K246" s="235"/>
      <c r="L246" s="235"/>
      <c r="M246" s="212"/>
    </row>
    <row r="247" spans="1:13">
      <c r="A247" s="213"/>
      <c r="B247" s="278"/>
      <c r="C247" s="278"/>
      <c r="D247" s="278"/>
      <c r="E247" s="279"/>
      <c r="F247" s="278"/>
      <c r="G247" s="278"/>
      <c r="H247" s="278"/>
      <c r="I247" s="279"/>
      <c r="J247" s="278"/>
      <c r="K247" s="278"/>
      <c r="L247" s="278"/>
      <c r="M247" s="212"/>
    </row>
    <row r="248" spans="1:13">
      <c r="A248" s="213"/>
      <c r="B248" s="278"/>
      <c r="C248" s="278"/>
      <c r="D248" s="278"/>
      <c r="E248" s="279"/>
      <c r="F248" s="278"/>
      <c r="G248" s="278"/>
      <c r="H248" s="278"/>
      <c r="I248" s="279"/>
      <c r="J248" s="278"/>
      <c r="K248" s="278"/>
      <c r="L248" s="278"/>
      <c r="M248" s="212"/>
    </row>
    <row r="249" spans="1:13">
      <c r="A249" s="213"/>
      <c r="B249" s="278"/>
      <c r="C249" s="278"/>
      <c r="D249" s="278"/>
      <c r="E249" s="279"/>
      <c r="F249" s="278"/>
      <c r="G249" s="278"/>
      <c r="H249" s="278"/>
      <c r="I249" s="279"/>
      <c r="J249" s="278"/>
      <c r="K249" s="278"/>
      <c r="L249" s="278"/>
      <c r="M249" s="212"/>
    </row>
    <row r="250" spans="1:13">
      <c r="A250" s="213"/>
      <c r="B250" s="278"/>
      <c r="C250" s="278"/>
      <c r="D250" s="278"/>
      <c r="E250" s="279"/>
      <c r="F250" s="278"/>
      <c r="G250" s="278"/>
      <c r="H250" s="278"/>
      <c r="I250" s="279"/>
      <c r="J250" s="278"/>
      <c r="K250" s="278"/>
      <c r="L250" s="278"/>
      <c r="M250" s="212"/>
    </row>
    <row r="251" spans="1:13">
      <c r="A251" s="213"/>
      <c r="B251" s="278"/>
      <c r="C251" s="278"/>
      <c r="D251" s="278"/>
      <c r="E251" s="279"/>
      <c r="F251" s="278"/>
      <c r="G251" s="278"/>
      <c r="H251" s="278"/>
      <c r="I251" s="279"/>
      <c r="J251" s="278"/>
      <c r="K251" s="278"/>
      <c r="L251" s="278"/>
      <c r="M251" s="212"/>
    </row>
    <row r="252" spans="1:13">
      <c r="A252" s="213"/>
      <c r="B252" s="278"/>
      <c r="C252" s="278"/>
      <c r="D252" s="278"/>
      <c r="E252" s="279"/>
      <c r="F252" s="278"/>
      <c r="G252" s="278"/>
      <c r="H252" s="278"/>
      <c r="I252" s="279"/>
      <c r="J252" s="278"/>
      <c r="K252" s="278"/>
      <c r="L252" s="278"/>
      <c r="M252" s="212"/>
    </row>
    <row r="253" spans="1:13">
      <c r="A253" s="213"/>
      <c r="B253" s="278"/>
      <c r="C253" s="278"/>
      <c r="D253" s="278"/>
      <c r="E253" s="279"/>
      <c r="F253" s="278"/>
      <c r="G253" s="278"/>
      <c r="H253" s="278"/>
      <c r="I253" s="279"/>
      <c r="J253" s="278"/>
      <c r="K253" s="278"/>
      <c r="L253" s="278"/>
      <c r="M253" s="212"/>
    </row>
    <row r="254" spans="1:13">
      <c r="A254" s="213"/>
      <c r="B254" s="278"/>
      <c r="C254" s="278"/>
      <c r="D254" s="278"/>
      <c r="E254" s="279"/>
      <c r="F254" s="278"/>
      <c r="G254" s="278"/>
      <c r="H254" s="278"/>
      <c r="I254" s="279"/>
      <c r="J254" s="278"/>
      <c r="K254" s="278"/>
      <c r="L254" s="278"/>
      <c r="M254" s="212"/>
    </row>
    <row r="255" spans="1:13">
      <c r="A255" s="213"/>
      <c r="B255" s="278"/>
      <c r="C255" s="278"/>
      <c r="D255" s="278"/>
      <c r="E255" s="279"/>
      <c r="F255" s="278"/>
      <c r="G255" s="278"/>
      <c r="H255" s="278"/>
      <c r="I255" s="279"/>
      <c r="J255" s="278"/>
      <c r="K255" s="278"/>
      <c r="L255" s="278"/>
      <c r="M255" s="212"/>
    </row>
    <row r="256" spans="1:13">
      <c r="A256" s="213"/>
      <c r="B256" s="278"/>
      <c r="C256" s="278"/>
      <c r="D256" s="278"/>
      <c r="E256" s="279"/>
      <c r="F256" s="278"/>
      <c r="G256" s="278"/>
      <c r="H256" s="278"/>
      <c r="I256" s="279"/>
      <c r="J256" s="278"/>
      <c r="K256" s="278"/>
      <c r="L256" s="278"/>
      <c r="M256" s="212"/>
    </row>
    <row r="257" spans="1:13">
      <c r="A257" s="213"/>
      <c r="B257" s="279"/>
      <c r="C257" s="279"/>
      <c r="D257" s="279"/>
      <c r="E257" s="279"/>
      <c r="F257" s="279"/>
      <c r="G257" s="279"/>
      <c r="H257" s="279"/>
      <c r="I257" s="279"/>
      <c r="J257" s="279"/>
      <c r="K257" s="279"/>
      <c r="L257" s="279"/>
      <c r="M257" s="212"/>
    </row>
    <row r="258" spans="1:13">
      <c r="A258" s="213"/>
      <c r="B258" s="213"/>
      <c r="C258" s="213"/>
      <c r="D258" s="213"/>
      <c r="E258" s="213"/>
      <c r="F258" s="213"/>
      <c r="G258" s="213"/>
      <c r="H258" s="213"/>
      <c r="I258" s="213"/>
      <c r="J258" s="213"/>
      <c r="K258" s="213"/>
      <c r="L258" s="216"/>
      <c r="M258" s="212"/>
    </row>
    <row r="259" spans="1:13">
      <c r="A259" s="213"/>
      <c r="B259" s="213"/>
      <c r="C259" s="213"/>
      <c r="D259" s="213"/>
      <c r="E259" s="213"/>
      <c r="F259" s="213"/>
      <c r="G259" s="213"/>
      <c r="H259" s="213"/>
      <c r="I259" s="213"/>
      <c r="J259" s="213"/>
      <c r="K259" s="213"/>
      <c r="L259" s="260"/>
      <c r="M259" s="212"/>
    </row>
    <row r="260" spans="1:13">
      <c r="A260" s="234"/>
      <c r="B260" s="217"/>
      <c r="C260" s="217"/>
      <c r="D260" s="217"/>
      <c r="E260" s="217"/>
      <c r="F260" s="217"/>
      <c r="G260" s="217"/>
      <c r="H260" s="217"/>
      <c r="I260" s="217"/>
      <c r="J260" s="217"/>
      <c r="K260" s="217"/>
      <c r="L260" s="212"/>
      <c r="M260" s="212"/>
    </row>
    <row r="261" spans="1:13">
      <c r="A261" s="217"/>
      <c r="B261" s="347"/>
      <c r="C261" s="347"/>
      <c r="D261" s="347"/>
      <c r="E261" s="229"/>
      <c r="F261" s="347"/>
      <c r="G261" s="347"/>
      <c r="H261" s="347"/>
      <c r="I261" s="229"/>
      <c r="J261" s="347"/>
      <c r="K261" s="347"/>
      <c r="L261" s="347"/>
      <c r="M261" s="212"/>
    </row>
    <row r="262" spans="1:13">
      <c r="A262" s="234"/>
      <c r="B262" s="235"/>
      <c r="C262" s="235"/>
      <c r="D262" s="235"/>
      <c r="E262" s="235"/>
      <c r="F262" s="235"/>
      <c r="G262" s="235"/>
      <c r="H262" s="235"/>
      <c r="I262" s="235"/>
      <c r="J262" s="235"/>
      <c r="K262" s="235"/>
      <c r="L262" s="235"/>
      <c r="M262" s="212"/>
    </row>
    <row r="263" spans="1:13">
      <c r="A263" s="234"/>
      <c r="B263" s="235"/>
      <c r="C263" s="235"/>
      <c r="D263" s="235"/>
      <c r="E263" s="235"/>
      <c r="F263" s="235"/>
      <c r="G263" s="235"/>
      <c r="H263" s="235"/>
      <c r="I263" s="235"/>
      <c r="J263" s="235"/>
      <c r="K263" s="235"/>
      <c r="L263" s="235"/>
      <c r="M263" s="212"/>
    </row>
    <row r="264" spans="1:13">
      <c r="A264" s="213"/>
      <c r="B264" s="278"/>
      <c r="C264" s="278"/>
      <c r="D264" s="278"/>
      <c r="E264" s="279"/>
      <c r="F264" s="278"/>
      <c r="G264" s="278"/>
      <c r="H264" s="278"/>
      <c r="I264" s="279"/>
      <c r="J264" s="278"/>
      <c r="K264" s="278"/>
      <c r="L264" s="278"/>
      <c r="M264" s="212"/>
    </row>
    <row r="265" spans="1:13">
      <c r="A265" s="213"/>
      <c r="B265" s="278"/>
      <c r="C265" s="278"/>
      <c r="D265" s="278"/>
      <c r="E265" s="279"/>
      <c r="F265" s="278"/>
      <c r="G265" s="278"/>
      <c r="H265" s="278"/>
      <c r="I265" s="279"/>
      <c r="J265" s="278"/>
      <c r="K265" s="278"/>
      <c r="L265" s="278"/>
      <c r="M265" s="212"/>
    </row>
    <row r="266" spans="1:13">
      <c r="A266" s="213"/>
      <c r="B266" s="278"/>
      <c r="C266" s="278"/>
      <c r="D266" s="278"/>
      <c r="E266" s="279"/>
      <c r="F266" s="278"/>
      <c r="G266" s="278"/>
      <c r="H266" s="278"/>
      <c r="I266" s="279"/>
      <c r="J266" s="278"/>
      <c r="K266" s="278"/>
      <c r="L266" s="278"/>
      <c r="M266" s="212"/>
    </row>
    <row r="267" spans="1:13">
      <c r="A267" s="213"/>
      <c r="B267" s="278"/>
      <c r="C267" s="278"/>
      <c r="D267" s="278"/>
      <c r="E267" s="279"/>
      <c r="F267" s="278"/>
      <c r="G267" s="278"/>
      <c r="H267" s="278"/>
      <c r="I267" s="279"/>
      <c r="J267" s="278"/>
      <c r="K267" s="278"/>
      <c r="L267" s="278"/>
      <c r="M267" s="212"/>
    </row>
    <row r="268" spans="1:13">
      <c r="A268" s="213"/>
      <c r="B268" s="278"/>
      <c r="C268" s="278"/>
      <c r="D268" s="278"/>
      <c r="E268" s="279"/>
      <c r="F268" s="278"/>
      <c r="G268" s="278"/>
      <c r="H268" s="278"/>
      <c r="I268" s="279"/>
      <c r="J268" s="278"/>
      <c r="K268" s="278"/>
      <c r="L268" s="278"/>
      <c r="M268" s="212"/>
    </row>
    <row r="269" spans="1:13">
      <c r="A269" s="213"/>
      <c r="B269" s="278"/>
      <c r="C269" s="278"/>
      <c r="D269" s="278"/>
      <c r="E269" s="279"/>
      <c r="F269" s="278"/>
      <c r="G269" s="278"/>
      <c r="H269" s="278"/>
      <c r="I269" s="279"/>
      <c r="J269" s="278"/>
      <c r="K269" s="278"/>
      <c r="L269" s="278"/>
      <c r="M269" s="212"/>
    </row>
    <row r="270" spans="1:13">
      <c r="A270" s="213"/>
      <c r="B270" s="278"/>
      <c r="C270" s="278"/>
      <c r="D270" s="278"/>
      <c r="E270" s="279"/>
      <c r="F270" s="278"/>
      <c r="G270" s="278"/>
      <c r="H270" s="278"/>
      <c r="I270" s="279"/>
      <c r="J270" s="278"/>
      <c r="K270" s="278"/>
      <c r="L270" s="278"/>
      <c r="M270" s="212"/>
    </row>
    <row r="271" spans="1:13">
      <c r="A271" s="213"/>
      <c r="B271" s="278"/>
      <c r="C271" s="278"/>
      <c r="D271" s="278"/>
      <c r="E271" s="279"/>
      <c r="F271" s="278"/>
      <c r="G271" s="278"/>
      <c r="H271" s="278"/>
      <c r="I271" s="279"/>
      <c r="J271" s="278"/>
      <c r="K271" s="278"/>
      <c r="L271" s="278"/>
      <c r="M271" s="212"/>
    </row>
    <row r="272" spans="1:13">
      <c r="A272" s="213"/>
      <c r="B272" s="278"/>
      <c r="C272" s="278"/>
      <c r="D272" s="278"/>
      <c r="E272" s="279"/>
      <c r="F272" s="278"/>
      <c r="G272" s="278"/>
      <c r="H272" s="278"/>
      <c r="I272" s="279"/>
      <c r="J272" s="278"/>
      <c r="K272" s="278"/>
      <c r="L272" s="278"/>
      <c r="M272" s="212"/>
    </row>
    <row r="273" spans="1:13">
      <c r="A273" s="213"/>
      <c r="B273" s="278"/>
      <c r="C273" s="278"/>
      <c r="D273" s="278"/>
      <c r="E273" s="279"/>
      <c r="F273" s="278"/>
      <c r="G273" s="278"/>
      <c r="H273" s="278"/>
      <c r="I273" s="279"/>
      <c r="J273" s="278"/>
      <c r="K273" s="278"/>
      <c r="L273" s="278"/>
      <c r="M273" s="212"/>
    </row>
    <row r="274" spans="1:13">
      <c r="A274" s="213"/>
      <c r="B274" s="279"/>
      <c r="C274" s="279"/>
      <c r="D274" s="279"/>
      <c r="E274" s="279"/>
      <c r="F274" s="279"/>
      <c r="G274" s="279"/>
      <c r="H274" s="279"/>
      <c r="I274" s="279"/>
      <c r="J274" s="279"/>
      <c r="K274" s="279"/>
      <c r="L274" s="279"/>
      <c r="M274" s="212"/>
    </row>
    <row r="275" spans="1:13">
      <c r="A275" s="213"/>
      <c r="B275" s="213"/>
      <c r="C275" s="213"/>
      <c r="D275" s="213"/>
      <c r="E275" s="213"/>
      <c r="F275" s="213"/>
      <c r="G275" s="213"/>
      <c r="H275" s="213"/>
      <c r="I275" s="213"/>
      <c r="J275" s="213"/>
      <c r="K275" s="213"/>
      <c r="L275" s="216"/>
      <c r="M275" s="212"/>
    </row>
    <row r="276" spans="1:13">
      <c r="A276" s="213"/>
      <c r="B276" s="213"/>
      <c r="C276" s="213"/>
      <c r="D276" s="213"/>
      <c r="E276" s="213"/>
      <c r="F276" s="213"/>
      <c r="G276" s="213"/>
      <c r="H276" s="213"/>
      <c r="I276" s="213"/>
      <c r="J276" s="213"/>
      <c r="K276" s="213"/>
      <c r="L276" s="260"/>
      <c r="M276" s="212"/>
    </row>
    <row r="277" spans="1:13">
      <c r="A277" s="234"/>
      <c r="B277" s="217"/>
      <c r="C277" s="217"/>
      <c r="D277" s="217"/>
      <c r="E277" s="217"/>
      <c r="F277" s="217"/>
      <c r="G277" s="217"/>
      <c r="H277" s="217"/>
      <c r="I277" s="217"/>
      <c r="J277" s="217"/>
      <c r="K277" s="217"/>
      <c r="L277" s="212"/>
      <c r="M277" s="212"/>
    </row>
    <row r="278" spans="1:13">
      <c r="A278" s="217"/>
      <c r="B278" s="347"/>
      <c r="C278" s="347"/>
      <c r="D278" s="347"/>
      <c r="E278" s="229"/>
      <c r="F278" s="347"/>
      <c r="G278" s="347"/>
      <c r="H278" s="347"/>
      <c r="I278" s="229"/>
      <c r="J278" s="347"/>
      <c r="K278" s="347"/>
      <c r="L278" s="347"/>
      <c r="M278" s="212"/>
    </row>
    <row r="279" spans="1:13">
      <c r="A279" s="234"/>
      <c r="B279" s="235"/>
      <c r="C279" s="235"/>
      <c r="D279" s="235"/>
      <c r="E279" s="235"/>
      <c r="F279" s="235"/>
      <c r="G279" s="235"/>
      <c r="H279" s="235"/>
      <c r="I279" s="235"/>
      <c r="J279" s="235"/>
      <c r="K279" s="235"/>
      <c r="L279" s="235"/>
      <c r="M279" s="212"/>
    </row>
    <row r="280" spans="1:13">
      <c r="A280" s="234"/>
      <c r="B280" s="235"/>
      <c r="C280" s="235"/>
      <c r="D280" s="235"/>
      <c r="E280" s="235"/>
      <c r="F280" s="235"/>
      <c r="G280" s="235"/>
      <c r="H280" s="235"/>
      <c r="I280" s="235"/>
      <c r="J280" s="235"/>
      <c r="K280" s="235"/>
      <c r="L280" s="235"/>
      <c r="M280" s="212"/>
    </row>
    <row r="281" spans="1:13">
      <c r="A281" s="213"/>
      <c r="B281" s="278"/>
      <c r="C281" s="278"/>
      <c r="D281" s="278"/>
      <c r="E281" s="279"/>
      <c r="F281" s="278"/>
      <c r="G281" s="278"/>
      <c r="H281" s="278"/>
      <c r="I281" s="279"/>
      <c r="J281" s="278"/>
      <c r="K281" s="278"/>
      <c r="L281" s="278"/>
      <c r="M281" s="212"/>
    </row>
    <row r="282" spans="1:13">
      <c r="A282" s="213"/>
      <c r="B282" s="278"/>
      <c r="C282" s="278"/>
      <c r="D282" s="278"/>
      <c r="E282" s="279"/>
      <c r="F282" s="278"/>
      <c r="G282" s="278"/>
      <c r="H282" s="278"/>
      <c r="I282" s="279"/>
      <c r="J282" s="278"/>
      <c r="K282" s="278"/>
      <c r="L282" s="278"/>
      <c r="M282" s="212"/>
    </row>
    <row r="283" spans="1:13">
      <c r="A283" s="213"/>
      <c r="B283" s="278"/>
      <c r="C283" s="278"/>
      <c r="D283" s="278"/>
      <c r="E283" s="279"/>
      <c r="F283" s="278"/>
      <c r="G283" s="278"/>
      <c r="H283" s="278"/>
      <c r="I283" s="279"/>
      <c r="J283" s="278"/>
      <c r="K283" s="278"/>
      <c r="L283" s="278"/>
      <c r="M283" s="212"/>
    </row>
    <row r="284" spans="1:13">
      <c r="A284" s="213"/>
      <c r="B284" s="278"/>
      <c r="C284" s="278"/>
      <c r="D284" s="278"/>
      <c r="E284" s="279"/>
      <c r="F284" s="278"/>
      <c r="G284" s="278"/>
      <c r="H284" s="278"/>
      <c r="I284" s="279"/>
      <c r="J284" s="278"/>
      <c r="K284" s="278"/>
      <c r="L284" s="278"/>
      <c r="M284" s="212"/>
    </row>
    <row r="285" spans="1:13">
      <c r="A285" s="213"/>
      <c r="B285" s="278"/>
      <c r="C285" s="278"/>
      <c r="D285" s="278"/>
      <c r="E285" s="279"/>
      <c r="F285" s="278"/>
      <c r="G285" s="278"/>
      <c r="H285" s="278"/>
      <c r="I285" s="279"/>
      <c r="J285" s="278"/>
      <c r="K285" s="278"/>
      <c r="L285" s="278"/>
      <c r="M285" s="212"/>
    </row>
    <row r="286" spans="1:13">
      <c r="A286" s="213"/>
      <c r="B286" s="278"/>
      <c r="C286" s="278"/>
      <c r="D286" s="278"/>
      <c r="E286" s="279"/>
      <c r="F286" s="278"/>
      <c r="G286" s="278"/>
      <c r="H286" s="278"/>
      <c r="I286" s="279"/>
      <c r="J286" s="278"/>
      <c r="K286" s="278"/>
      <c r="L286" s="278"/>
      <c r="M286" s="212"/>
    </row>
    <row r="287" spans="1:13">
      <c r="A287" s="213"/>
      <c r="B287" s="278"/>
      <c r="C287" s="278"/>
      <c r="D287" s="278"/>
      <c r="E287" s="279"/>
      <c r="F287" s="278"/>
      <c r="G287" s="278"/>
      <c r="H287" s="278"/>
      <c r="I287" s="279"/>
      <c r="J287" s="278"/>
      <c r="K287" s="278"/>
      <c r="L287" s="278"/>
      <c r="M287" s="212"/>
    </row>
    <row r="288" spans="1:13">
      <c r="A288" s="213"/>
      <c r="B288" s="278"/>
      <c r="C288" s="278"/>
      <c r="D288" s="278"/>
      <c r="E288" s="279"/>
      <c r="F288" s="278"/>
      <c r="G288" s="278"/>
      <c r="H288" s="278"/>
      <c r="I288" s="279"/>
      <c r="J288" s="278"/>
      <c r="K288" s="278"/>
      <c r="L288" s="278"/>
      <c r="M288" s="212"/>
    </row>
    <row r="289" spans="1:13">
      <c r="A289" s="213"/>
      <c r="B289" s="278"/>
      <c r="C289" s="278"/>
      <c r="D289" s="278"/>
      <c r="E289" s="279"/>
      <c r="F289" s="278"/>
      <c r="G289" s="278"/>
      <c r="H289" s="278"/>
      <c r="I289" s="279"/>
      <c r="J289" s="278"/>
      <c r="K289" s="278"/>
      <c r="L289" s="278"/>
      <c r="M289" s="212"/>
    </row>
    <row r="290" spans="1:13">
      <c r="A290" s="213"/>
      <c r="B290" s="278"/>
      <c r="C290" s="278"/>
      <c r="D290" s="278"/>
      <c r="E290" s="279"/>
      <c r="F290" s="278"/>
      <c r="G290" s="278"/>
      <c r="H290" s="278"/>
      <c r="I290" s="279"/>
      <c r="J290" s="278"/>
      <c r="K290" s="278"/>
      <c r="L290" s="278"/>
      <c r="M290" s="212"/>
    </row>
    <row r="291" spans="1:13">
      <c r="A291" s="213"/>
      <c r="B291" s="279"/>
      <c r="C291" s="279"/>
      <c r="D291" s="279"/>
      <c r="E291" s="279"/>
      <c r="F291" s="279"/>
      <c r="G291" s="279"/>
      <c r="H291" s="279"/>
      <c r="I291" s="279"/>
      <c r="J291" s="279"/>
      <c r="K291" s="279"/>
      <c r="L291" s="279"/>
      <c r="M291" s="212"/>
    </row>
    <row r="292" spans="1:13">
      <c r="A292" s="213"/>
      <c r="B292" s="213"/>
      <c r="C292" s="213"/>
      <c r="D292" s="213"/>
      <c r="E292" s="213"/>
      <c r="F292" s="213"/>
      <c r="G292" s="213"/>
      <c r="H292" s="213"/>
      <c r="I292" s="213"/>
      <c r="J292" s="213"/>
      <c r="K292" s="213"/>
      <c r="L292" s="216"/>
      <c r="M292" s="212"/>
    </row>
    <row r="293" spans="1:13">
      <c r="A293" s="213"/>
      <c r="B293" s="213"/>
      <c r="C293" s="213"/>
      <c r="D293" s="213"/>
      <c r="E293" s="213"/>
      <c r="F293" s="213"/>
      <c r="G293" s="213"/>
      <c r="H293" s="213"/>
      <c r="I293" s="213"/>
      <c r="J293" s="213"/>
      <c r="K293" s="213"/>
      <c r="L293" s="260"/>
      <c r="M293" s="212"/>
    </row>
    <row r="294" spans="1:13">
      <c r="A294" s="234"/>
      <c r="B294" s="217"/>
      <c r="C294" s="217"/>
      <c r="D294" s="217"/>
      <c r="E294" s="217"/>
      <c r="F294" s="217"/>
      <c r="G294" s="217"/>
      <c r="H294" s="217"/>
      <c r="I294" s="217"/>
      <c r="J294" s="217"/>
      <c r="K294" s="217"/>
      <c r="L294" s="212"/>
      <c r="M294" s="212"/>
    </row>
    <row r="295" spans="1:13">
      <c r="A295" s="217"/>
      <c r="B295" s="347"/>
      <c r="C295" s="347"/>
      <c r="D295" s="347"/>
      <c r="E295" s="229"/>
      <c r="F295" s="347"/>
      <c r="G295" s="347"/>
      <c r="H295" s="347"/>
      <c r="I295" s="229"/>
      <c r="J295" s="347"/>
      <c r="K295" s="347"/>
      <c r="L295" s="347"/>
      <c r="M295" s="212"/>
    </row>
    <row r="296" spans="1:13">
      <c r="A296" s="234"/>
      <c r="B296" s="235"/>
      <c r="C296" s="235"/>
      <c r="D296" s="235"/>
      <c r="E296" s="235"/>
      <c r="F296" s="235"/>
      <c r="G296" s="235"/>
      <c r="H296" s="235"/>
      <c r="I296" s="235"/>
      <c r="J296" s="235"/>
      <c r="K296" s="235"/>
      <c r="L296" s="235"/>
      <c r="M296" s="212"/>
    </row>
    <row r="297" spans="1:13">
      <c r="A297" s="234"/>
      <c r="B297" s="235"/>
      <c r="C297" s="235"/>
      <c r="D297" s="235"/>
      <c r="E297" s="235"/>
      <c r="F297" s="235"/>
      <c r="G297" s="235"/>
      <c r="H297" s="235"/>
      <c r="I297" s="235"/>
      <c r="J297" s="235"/>
      <c r="K297" s="235"/>
      <c r="L297" s="235"/>
      <c r="M297" s="212"/>
    </row>
    <row r="298" spans="1:13">
      <c r="A298" s="213"/>
      <c r="B298" s="278"/>
      <c r="C298" s="278"/>
      <c r="D298" s="278"/>
      <c r="E298" s="279"/>
      <c r="F298" s="278"/>
      <c r="G298" s="278"/>
      <c r="H298" s="278"/>
      <c r="I298" s="279"/>
      <c r="J298" s="278"/>
      <c r="K298" s="278"/>
      <c r="L298" s="278"/>
      <c r="M298" s="212"/>
    </row>
    <row r="299" spans="1:13">
      <c r="A299" s="213"/>
      <c r="B299" s="278"/>
      <c r="C299" s="278"/>
      <c r="D299" s="278"/>
      <c r="E299" s="279"/>
      <c r="F299" s="278"/>
      <c r="G299" s="278"/>
      <c r="H299" s="278"/>
      <c r="I299" s="279"/>
      <c r="J299" s="278"/>
      <c r="K299" s="278"/>
      <c r="L299" s="278"/>
      <c r="M299" s="212"/>
    </row>
    <row r="300" spans="1:13">
      <c r="A300" s="213"/>
      <c r="B300" s="278"/>
      <c r="C300" s="278"/>
      <c r="D300" s="278"/>
      <c r="E300" s="279"/>
      <c r="F300" s="278"/>
      <c r="G300" s="278"/>
      <c r="H300" s="278"/>
      <c r="I300" s="279"/>
      <c r="J300" s="278"/>
      <c r="K300" s="278"/>
      <c r="L300" s="278"/>
      <c r="M300" s="212"/>
    </row>
    <row r="301" spans="1:13">
      <c r="A301" s="213"/>
      <c r="B301" s="278"/>
      <c r="C301" s="278"/>
      <c r="D301" s="278"/>
      <c r="E301" s="279"/>
      <c r="F301" s="278"/>
      <c r="G301" s="278"/>
      <c r="H301" s="278"/>
      <c r="I301" s="279"/>
      <c r="J301" s="278"/>
      <c r="K301" s="278"/>
      <c r="L301" s="278"/>
      <c r="M301" s="212"/>
    </row>
    <row r="302" spans="1:13">
      <c r="A302" s="213"/>
      <c r="B302" s="278"/>
      <c r="C302" s="278"/>
      <c r="D302" s="278"/>
      <c r="E302" s="279"/>
      <c r="F302" s="278"/>
      <c r="G302" s="278"/>
      <c r="H302" s="278"/>
      <c r="I302" s="279"/>
      <c r="J302" s="278"/>
      <c r="K302" s="278"/>
      <c r="L302" s="278"/>
      <c r="M302" s="212"/>
    </row>
    <row r="303" spans="1:13">
      <c r="A303" s="213"/>
      <c r="B303" s="278"/>
      <c r="C303" s="278"/>
      <c r="D303" s="278"/>
      <c r="E303" s="279"/>
      <c r="F303" s="278"/>
      <c r="G303" s="278"/>
      <c r="H303" s="278"/>
      <c r="I303" s="279"/>
      <c r="J303" s="278"/>
      <c r="K303" s="278"/>
      <c r="L303" s="278"/>
      <c r="M303" s="212"/>
    </row>
    <row r="304" spans="1:13">
      <c r="A304" s="213"/>
      <c r="B304" s="278"/>
      <c r="C304" s="278"/>
      <c r="D304" s="278"/>
      <c r="E304" s="279"/>
      <c r="F304" s="278"/>
      <c r="G304" s="278"/>
      <c r="H304" s="278"/>
      <c r="I304" s="279"/>
      <c r="J304" s="278"/>
      <c r="K304" s="278"/>
      <c r="L304" s="278"/>
      <c r="M304" s="212"/>
    </row>
    <row r="305" spans="1:13">
      <c r="A305" s="213"/>
      <c r="B305" s="278"/>
      <c r="C305" s="278"/>
      <c r="D305" s="278"/>
      <c r="E305" s="279"/>
      <c r="F305" s="278"/>
      <c r="G305" s="278"/>
      <c r="H305" s="278"/>
      <c r="I305" s="279"/>
      <c r="J305" s="278"/>
      <c r="K305" s="278"/>
      <c r="L305" s="278"/>
      <c r="M305" s="212"/>
    </row>
    <row r="306" spans="1:13">
      <c r="A306" s="213"/>
      <c r="B306" s="278"/>
      <c r="C306" s="278"/>
      <c r="D306" s="278"/>
      <c r="E306" s="279"/>
      <c r="F306" s="278"/>
      <c r="G306" s="278"/>
      <c r="H306" s="278"/>
      <c r="I306" s="279"/>
      <c r="J306" s="278"/>
      <c r="K306" s="278"/>
      <c r="L306" s="278"/>
      <c r="M306" s="212"/>
    </row>
    <row r="307" spans="1:13">
      <c r="A307" s="213"/>
      <c r="B307" s="278"/>
      <c r="C307" s="278"/>
      <c r="D307" s="278"/>
      <c r="E307" s="279"/>
      <c r="F307" s="278"/>
      <c r="G307" s="278"/>
      <c r="H307" s="278"/>
      <c r="I307" s="279"/>
      <c r="J307" s="278"/>
      <c r="K307" s="278"/>
      <c r="L307" s="278"/>
      <c r="M307" s="212"/>
    </row>
    <row r="308" spans="1:13">
      <c r="A308" s="213"/>
      <c r="B308" s="279"/>
      <c r="C308" s="279"/>
      <c r="D308" s="279"/>
      <c r="E308" s="279"/>
      <c r="F308" s="279"/>
      <c r="G308" s="279"/>
      <c r="H308" s="279"/>
      <c r="I308" s="279"/>
      <c r="J308" s="279"/>
      <c r="K308" s="279"/>
      <c r="L308" s="279"/>
      <c r="M308" s="212"/>
    </row>
    <row r="309" spans="1:13">
      <c r="A309" s="213"/>
      <c r="B309" s="213"/>
      <c r="C309" s="213"/>
      <c r="D309" s="213"/>
      <c r="E309" s="213"/>
      <c r="F309" s="213"/>
      <c r="G309" s="213"/>
      <c r="H309" s="213"/>
      <c r="I309" s="213"/>
      <c r="J309" s="213"/>
      <c r="K309" s="213"/>
      <c r="L309" s="216"/>
      <c r="M309" s="212"/>
    </row>
    <row r="310" spans="1:13">
      <c r="A310" s="213"/>
      <c r="B310" s="213"/>
      <c r="C310" s="213"/>
      <c r="D310" s="213"/>
      <c r="E310" s="213"/>
      <c r="F310" s="213"/>
      <c r="G310" s="213"/>
      <c r="H310" s="213"/>
      <c r="I310" s="213"/>
      <c r="J310" s="213"/>
      <c r="K310" s="213"/>
      <c r="L310" s="260"/>
      <c r="M310" s="212"/>
    </row>
    <row r="311" spans="1:13">
      <c r="A311" s="234"/>
      <c r="B311" s="217"/>
      <c r="C311" s="217"/>
      <c r="D311" s="217"/>
      <c r="E311" s="217"/>
      <c r="F311" s="217"/>
      <c r="G311" s="217"/>
      <c r="H311" s="217"/>
      <c r="I311" s="217"/>
      <c r="J311" s="217"/>
      <c r="K311" s="217"/>
      <c r="L311" s="212"/>
      <c r="M311" s="212"/>
    </row>
    <row r="312" spans="1:13">
      <c r="A312" s="217"/>
      <c r="B312" s="347"/>
      <c r="C312" s="347"/>
      <c r="D312" s="347"/>
      <c r="E312" s="229"/>
      <c r="F312" s="347"/>
      <c r="G312" s="347"/>
      <c r="H312" s="347"/>
      <c r="I312" s="229"/>
      <c r="J312" s="347"/>
      <c r="K312" s="347"/>
      <c r="L312" s="347"/>
      <c r="M312" s="212"/>
    </row>
    <row r="313" spans="1:13">
      <c r="A313" s="234"/>
      <c r="B313" s="235"/>
      <c r="C313" s="235"/>
      <c r="D313" s="235"/>
      <c r="E313" s="235"/>
      <c r="F313" s="235"/>
      <c r="G313" s="235"/>
      <c r="H313" s="235"/>
      <c r="I313" s="235"/>
      <c r="J313" s="235"/>
      <c r="K313" s="235"/>
      <c r="L313" s="235"/>
      <c r="M313" s="212"/>
    </row>
    <row r="314" spans="1:13">
      <c r="A314" s="234"/>
      <c r="B314" s="235"/>
      <c r="C314" s="235"/>
      <c r="D314" s="235"/>
      <c r="E314" s="235"/>
      <c r="F314" s="235"/>
      <c r="G314" s="235"/>
      <c r="H314" s="235"/>
      <c r="I314" s="235"/>
      <c r="J314" s="235"/>
      <c r="K314" s="235"/>
      <c r="L314" s="235"/>
      <c r="M314" s="212"/>
    </row>
    <row r="315" spans="1:13">
      <c r="A315" s="213"/>
      <c r="B315" s="278"/>
      <c r="C315" s="278"/>
      <c r="D315" s="278"/>
      <c r="E315" s="279"/>
      <c r="F315" s="278"/>
      <c r="G315" s="278"/>
      <c r="H315" s="278"/>
      <c r="I315" s="279"/>
      <c r="J315" s="278"/>
      <c r="K315" s="278"/>
      <c r="L315" s="278"/>
      <c r="M315" s="212"/>
    </row>
    <row r="316" spans="1:13">
      <c r="A316" s="213"/>
      <c r="B316" s="278"/>
      <c r="C316" s="278"/>
      <c r="D316" s="278"/>
      <c r="E316" s="279"/>
      <c r="F316" s="278"/>
      <c r="G316" s="278"/>
      <c r="H316" s="278"/>
      <c r="I316" s="279"/>
      <c r="J316" s="278"/>
      <c r="K316" s="278"/>
      <c r="L316" s="278"/>
      <c r="M316" s="212"/>
    </row>
    <row r="317" spans="1:13">
      <c r="A317" s="213"/>
      <c r="B317" s="278"/>
      <c r="C317" s="278"/>
      <c r="D317" s="278"/>
      <c r="E317" s="279"/>
      <c r="F317" s="278"/>
      <c r="G317" s="278"/>
      <c r="H317" s="278"/>
      <c r="I317" s="279"/>
      <c r="J317" s="278"/>
      <c r="K317" s="278"/>
      <c r="L317" s="278"/>
      <c r="M317" s="212"/>
    </row>
    <row r="318" spans="1:13">
      <c r="A318" s="213"/>
      <c r="B318" s="278"/>
      <c r="C318" s="278"/>
      <c r="D318" s="278"/>
      <c r="E318" s="279"/>
      <c r="F318" s="278"/>
      <c r="G318" s="278"/>
      <c r="H318" s="278"/>
      <c r="I318" s="279"/>
      <c r="J318" s="278"/>
      <c r="K318" s="278"/>
      <c r="L318" s="278"/>
      <c r="M318" s="212"/>
    </row>
    <row r="319" spans="1:13">
      <c r="A319" s="213"/>
      <c r="B319" s="278"/>
      <c r="C319" s="278"/>
      <c r="D319" s="278"/>
      <c r="E319" s="279"/>
      <c r="F319" s="278"/>
      <c r="G319" s="278"/>
      <c r="H319" s="278"/>
      <c r="I319" s="279"/>
      <c r="J319" s="278"/>
      <c r="K319" s="278"/>
      <c r="L319" s="278"/>
      <c r="M319" s="212"/>
    </row>
    <row r="320" spans="1:13">
      <c r="A320" s="213"/>
      <c r="B320" s="278"/>
      <c r="C320" s="278"/>
      <c r="D320" s="278"/>
      <c r="E320" s="279"/>
      <c r="F320" s="278"/>
      <c r="G320" s="278"/>
      <c r="H320" s="278"/>
      <c r="I320" s="279"/>
      <c r="J320" s="278"/>
      <c r="K320" s="278"/>
      <c r="L320" s="278"/>
      <c r="M320" s="212"/>
    </row>
    <row r="321" spans="1:13">
      <c r="A321" s="213"/>
      <c r="B321" s="278"/>
      <c r="C321" s="278"/>
      <c r="D321" s="278"/>
      <c r="E321" s="279"/>
      <c r="F321" s="278"/>
      <c r="G321" s="278"/>
      <c r="H321" s="278"/>
      <c r="I321" s="279"/>
      <c r="J321" s="278"/>
      <c r="K321" s="278"/>
      <c r="L321" s="278"/>
      <c r="M321" s="212"/>
    </row>
    <row r="322" spans="1:13">
      <c r="A322" s="213"/>
      <c r="B322" s="278"/>
      <c r="C322" s="278"/>
      <c r="D322" s="278"/>
      <c r="E322" s="279"/>
      <c r="F322" s="278"/>
      <c r="G322" s="278"/>
      <c r="H322" s="278"/>
      <c r="I322" s="279"/>
      <c r="J322" s="278"/>
      <c r="K322" s="278"/>
      <c r="L322" s="278"/>
      <c r="M322" s="212"/>
    </row>
    <row r="323" spans="1:13">
      <c r="A323" s="213"/>
      <c r="B323" s="278"/>
      <c r="C323" s="278"/>
      <c r="D323" s="278"/>
      <c r="E323" s="279"/>
      <c r="F323" s="278"/>
      <c r="G323" s="278"/>
      <c r="H323" s="278"/>
      <c r="I323" s="279"/>
      <c r="J323" s="278"/>
      <c r="K323" s="278"/>
      <c r="L323" s="278"/>
      <c r="M323" s="212"/>
    </row>
    <row r="324" spans="1:13">
      <c r="A324" s="213"/>
      <c r="B324" s="278"/>
      <c r="C324" s="278"/>
      <c r="D324" s="278"/>
      <c r="E324" s="279"/>
      <c r="F324" s="278"/>
      <c r="G324" s="278"/>
      <c r="H324" s="278"/>
      <c r="I324" s="279"/>
      <c r="J324" s="278"/>
      <c r="K324" s="278"/>
      <c r="L324" s="278"/>
      <c r="M324" s="212"/>
    </row>
    <row r="325" spans="1:13">
      <c r="A325" s="213"/>
      <c r="B325" s="279"/>
      <c r="C325" s="279"/>
      <c r="D325" s="279"/>
      <c r="E325" s="279"/>
      <c r="F325" s="279"/>
      <c r="G325" s="279"/>
      <c r="H325" s="279"/>
      <c r="I325" s="279"/>
      <c r="J325" s="279"/>
      <c r="K325" s="279"/>
      <c r="L325" s="279"/>
      <c r="M325" s="212"/>
    </row>
    <row r="326" spans="1:13">
      <c r="A326" s="213"/>
      <c r="B326" s="213"/>
      <c r="C326" s="213"/>
      <c r="D326" s="213"/>
      <c r="E326" s="213"/>
      <c r="F326" s="213"/>
      <c r="G326" s="213"/>
      <c r="H326" s="213"/>
      <c r="I326" s="213"/>
      <c r="J326" s="213"/>
      <c r="K326" s="213"/>
      <c r="L326" s="216"/>
      <c r="M326" s="212"/>
    </row>
    <row r="327" spans="1:13">
      <c r="A327" s="213"/>
      <c r="B327" s="213"/>
      <c r="C327" s="213"/>
      <c r="D327" s="213"/>
      <c r="E327" s="213"/>
      <c r="F327" s="213"/>
      <c r="G327" s="213"/>
      <c r="H327" s="213"/>
      <c r="I327" s="213"/>
      <c r="J327" s="213"/>
      <c r="K327" s="213"/>
      <c r="L327" s="260"/>
      <c r="M327" s="212"/>
    </row>
    <row r="328" spans="1:13">
      <c r="A328" s="234"/>
      <c r="B328" s="217"/>
      <c r="C328" s="217"/>
      <c r="D328" s="217"/>
      <c r="E328" s="217"/>
      <c r="F328" s="217"/>
      <c r="G328" s="217"/>
      <c r="H328" s="217"/>
      <c r="I328" s="217"/>
      <c r="J328" s="217"/>
      <c r="K328" s="217"/>
      <c r="L328" s="212"/>
      <c r="M328" s="212"/>
    </row>
    <row r="329" spans="1:13">
      <c r="A329" s="217"/>
      <c r="B329" s="347"/>
      <c r="C329" s="347"/>
      <c r="D329" s="347"/>
      <c r="E329" s="229"/>
      <c r="F329" s="347"/>
      <c r="G329" s="347"/>
      <c r="H329" s="347"/>
      <c r="I329" s="229"/>
      <c r="J329" s="347"/>
      <c r="K329" s="347"/>
      <c r="L329" s="347"/>
      <c r="M329" s="212"/>
    </row>
    <row r="330" spans="1:13">
      <c r="A330" s="234"/>
      <c r="B330" s="235"/>
      <c r="C330" s="235"/>
      <c r="D330" s="235"/>
      <c r="E330" s="235"/>
      <c r="F330" s="235"/>
      <c r="G330" s="235"/>
      <c r="H330" s="235"/>
      <c r="I330" s="235"/>
      <c r="J330" s="235"/>
      <c r="K330" s="235"/>
      <c r="L330" s="235"/>
      <c r="M330" s="212"/>
    </row>
    <row r="331" spans="1:13">
      <c r="A331" s="234"/>
      <c r="B331" s="235"/>
      <c r="C331" s="235"/>
      <c r="D331" s="235"/>
      <c r="E331" s="235"/>
      <c r="F331" s="235"/>
      <c r="G331" s="235"/>
      <c r="H331" s="235"/>
      <c r="I331" s="235"/>
      <c r="J331" s="235"/>
      <c r="K331" s="235"/>
      <c r="L331" s="235"/>
      <c r="M331" s="212"/>
    </row>
    <row r="332" spans="1:13">
      <c r="A332" s="213"/>
      <c r="B332" s="278"/>
      <c r="C332" s="278"/>
      <c r="D332" s="278"/>
      <c r="E332" s="279"/>
      <c r="F332" s="278"/>
      <c r="G332" s="278"/>
      <c r="H332" s="278"/>
      <c r="I332" s="279"/>
      <c r="J332" s="278"/>
      <c r="K332" s="278"/>
      <c r="L332" s="278"/>
      <c r="M332" s="212"/>
    </row>
    <row r="333" spans="1:13">
      <c r="A333" s="213"/>
      <c r="B333" s="278"/>
      <c r="C333" s="278"/>
      <c r="D333" s="278"/>
      <c r="E333" s="279"/>
      <c r="F333" s="278"/>
      <c r="G333" s="278"/>
      <c r="H333" s="278"/>
      <c r="I333" s="279"/>
      <c r="J333" s="278"/>
      <c r="K333" s="278"/>
      <c r="L333" s="278"/>
      <c r="M333" s="212"/>
    </row>
    <row r="334" spans="1:13">
      <c r="A334" s="213"/>
      <c r="B334" s="278"/>
      <c r="C334" s="278"/>
      <c r="D334" s="278"/>
      <c r="E334" s="279"/>
      <c r="F334" s="278"/>
      <c r="G334" s="278"/>
      <c r="H334" s="278"/>
      <c r="I334" s="279"/>
      <c r="J334" s="278"/>
      <c r="K334" s="278"/>
      <c r="L334" s="278"/>
      <c r="M334" s="212"/>
    </row>
    <row r="335" spans="1:13">
      <c r="A335" s="213"/>
      <c r="B335" s="278"/>
      <c r="C335" s="278"/>
      <c r="D335" s="278"/>
      <c r="E335" s="279"/>
      <c r="F335" s="278"/>
      <c r="G335" s="278"/>
      <c r="H335" s="278"/>
      <c r="I335" s="279"/>
      <c r="J335" s="278"/>
      <c r="K335" s="278"/>
      <c r="L335" s="278"/>
      <c r="M335" s="212"/>
    </row>
    <row r="336" spans="1:13">
      <c r="A336" s="213"/>
      <c r="B336" s="278"/>
      <c r="C336" s="278"/>
      <c r="D336" s="278"/>
      <c r="E336" s="279"/>
      <c r="F336" s="278"/>
      <c r="G336" s="278"/>
      <c r="H336" s="278"/>
      <c r="I336" s="279"/>
      <c r="J336" s="278"/>
      <c r="K336" s="278"/>
      <c r="L336" s="278"/>
      <c r="M336" s="212"/>
    </row>
    <row r="337" spans="1:13">
      <c r="A337" s="213"/>
      <c r="B337" s="278"/>
      <c r="C337" s="278"/>
      <c r="D337" s="278"/>
      <c r="E337" s="279"/>
      <c r="F337" s="278"/>
      <c r="G337" s="278"/>
      <c r="H337" s="278"/>
      <c r="I337" s="279"/>
      <c r="J337" s="278"/>
      <c r="K337" s="278"/>
      <c r="L337" s="278"/>
      <c r="M337" s="212"/>
    </row>
    <row r="338" spans="1:13">
      <c r="A338" s="213"/>
      <c r="B338" s="278"/>
      <c r="C338" s="278"/>
      <c r="D338" s="278"/>
      <c r="E338" s="279"/>
      <c r="F338" s="278"/>
      <c r="G338" s="278"/>
      <c r="H338" s="278"/>
      <c r="I338" s="279"/>
      <c r="J338" s="278"/>
      <c r="K338" s="278"/>
      <c r="L338" s="278"/>
      <c r="M338" s="212"/>
    </row>
    <row r="339" spans="1:13">
      <c r="A339" s="213"/>
      <c r="B339" s="278"/>
      <c r="C339" s="278"/>
      <c r="D339" s="278"/>
      <c r="E339" s="279"/>
      <c r="F339" s="278"/>
      <c r="G339" s="278"/>
      <c r="H339" s="278"/>
      <c r="I339" s="279"/>
      <c r="J339" s="278"/>
      <c r="K339" s="278"/>
      <c r="L339" s="278"/>
      <c r="M339" s="212"/>
    </row>
    <row r="340" spans="1:13">
      <c r="A340" s="213"/>
      <c r="B340" s="278"/>
      <c r="C340" s="278"/>
      <c r="D340" s="278"/>
      <c r="E340" s="279"/>
      <c r="F340" s="278"/>
      <c r="G340" s="278"/>
      <c r="H340" s="278"/>
      <c r="I340" s="279"/>
      <c r="J340" s="278"/>
      <c r="K340" s="278"/>
      <c r="L340" s="278"/>
      <c r="M340" s="212"/>
    </row>
    <row r="341" spans="1:13">
      <c r="A341" s="213"/>
      <c r="B341" s="278"/>
      <c r="C341" s="278"/>
      <c r="D341" s="278"/>
      <c r="E341" s="279"/>
      <c r="F341" s="278"/>
      <c r="G341" s="278"/>
      <c r="H341" s="278"/>
      <c r="I341" s="279"/>
      <c r="J341" s="278"/>
      <c r="K341" s="278"/>
      <c r="L341" s="278"/>
      <c r="M341" s="212"/>
    </row>
    <row r="342" spans="1:13">
      <c r="A342" s="213"/>
      <c r="B342" s="279"/>
      <c r="C342" s="279"/>
      <c r="D342" s="279"/>
      <c r="E342" s="279"/>
      <c r="F342" s="279"/>
      <c r="G342" s="279"/>
      <c r="H342" s="279"/>
      <c r="I342" s="279"/>
      <c r="J342" s="279"/>
      <c r="K342" s="279"/>
      <c r="L342" s="279"/>
      <c r="M342" s="212"/>
    </row>
    <row r="343" spans="1:13">
      <c r="A343" s="213"/>
      <c r="B343" s="213"/>
      <c r="C343" s="213"/>
      <c r="D343" s="213"/>
      <c r="E343" s="213"/>
      <c r="F343" s="213"/>
      <c r="G343" s="213"/>
      <c r="H343" s="213"/>
      <c r="I343" s="213"/>
      <c r="J343" s="213"/>
      <c r="K343" s="213"/>
      <c r="L343" s="216"/>
      <c r="M343" s="212"/>
    </row>
    <row r="344" spans="1:13">
      <c r="A344" s="213"/>
      <c r="B344" s="213"/>
      <c r="C344" s="213"/>
      <c r="D344" s="213"/>
      <c r="E344" s="213"/>
      <c r="F344" s="213"/>
      <c r="G344" s="213"/>
      <c r="H344" s="213"/>
      <c r="I344" s="213"/>
      <c r="J344" s="213"/>
      <c r="K344" s="213"/>
      <c r="L344" s="260"/>
      <c r="M344" s="212"/>
    </row>
    <row r="345" spans="1:13">
      <c r="A345" s="234"/>
      <c r="B345" s="217"/>
      <c r="C345" s="217"/>
      <c r="D345" s="217"/>
      <c r="E345" s="217"/>
      <c r="F345" s="217"/>
      <c r="G345" s="217"/>
      <c r="H345" s="217"/>
      <c r="I345" s="217"/>
      <c r="J345" s="217"/>
      <c r="K345" s="217"/>
      <c r="L345" s="212"/>
      <c r="M345" s="212"/>
    </row>
    <row r="346" spans="1:13">
      <c r="A346" s="217"/>
      <c r="B346" s="347"/>
      <c r="C346" s="347"/>
      <c r="D346" s="347"/>
      <c r="E346" s="229"/>
      <c r="F346" s="347"/>
      <c r="G346" s="347"/>
      <c r="H346" s="347"/>
      <c r="I346" s="229"/>
      <c r="J346" s="347"/>
      <c r="K346" s="347"/>
      <c r="L346" s="347"/>
      <c r="M346" s="212"/>
    </row>
    <row r="347" spans="1:13">
      <c r="A347" s="234"/>
      <c r="B347" s="235"/>
      <c r="C347" s="235"/>
      <c r="D347" s="235"/>
      <c r="E347" s="235"/>
      <c r="F347" s="235"/>
      <c r="G347" s="235"/>
      <c r="H347" s="235"/>
      <c r="I347" s="235"/>
      <c r="J347" s="235"/>
      <c r="K347" s="235"/>
      <c r="L347" s="235"/>
      <c r="M347" s="212"/>
    </row>
    <row r="348" spans="1:13">
      <c r="A348" s="234"/>
      <c r="B348" s="235"/>
      <c r="C348" s="235"/>
      <c r="D348" s="235"/>
      <c r="E348" s="235"/>
      <c r="F348" s="235"/>
      <c r="G348" s="235"/>
      <c r="H348" s="235"/>
      <c r="I348" s="235"/>
      <c r="J348" s="235"/>
      <c r="K348" s="235"/>
      <c r="L348" s="235"/>
      <c r="M348" s="212"/>
    </row>
    <row r="349" spans="1:13">
      <c r="A349" s="213"/>
      <c r="B349" s="278"/>
      <c r="C349" s="278"/>
      <c r="D349" s="278"/>
      <c r="E349" s="279"/>
      <c r="F349" s="278"/>
      <c r="G349" s="278"/>
      <c r="H349" s="278"/>
      <c r="I349" s="279"/>
      <c r="J349" s="278"/>
      <c r="K349" s="278"/>
      <c r="L349" s="278"/>
      <c r="M349" s="212"/>
    </row>
    <row r="350" spans="1:13">
      <c r="A350" s="213"/>
      <c r="B350" s="278"/>
      <c r="C350" s="278"/>
      <c r="D350" s="278"/>
      <c r="E350" s="279"/>
      <c r="F350" s="278"/>
      <c r="G350" s="278"/>
      <c r="H350" s="278"/>
      <c r="I350" s="279"/>
      <c r="J350" s="278"/>
      <c r="K350" s="278"/>
      <c r="L350" s="278"/>
      <c r="M350" s="212"/>
    </row>
    <row r="351" spans="1:13">
      <c r="A351" s="213"/>
      <c r="B351" s="278"/>
      <c r="C351" s="278"/>
      <c r="D351" s="278"/>
      <c r="E351" s="279"/>
      <c r="F351" s="278"/>
      <c r="G351" s="278"/>
      <c r="H351" s="278"/>
      <c r="I351" s="279"/>
      <c r="J351" s="278"/>
      <c r="K351" s="278"/>
      <c r="L351" s="278"/>
      <c r="M351" s="212"/>
    </row>
    <row r="352" spans="1:13">
      <c r="A352" s="213"/>
      <c r="B352" s="278"/>
      <c r="C352" s="278"/>
      <c r="D352" s="278"/>
      <c r="E352" s="279"/>
      <c r="F352" s="278"/>
      <c r="G352" s="278"/>
      <c r="H352" s="278"/>
      <c r="I352" s="279"/>
      <c r="J352" s="278"/>
      <c r="K352" s="278"/>
      <c r="L352" s="278"/>
      <c r="M352" s="212"/>
    </row>
    <row r="353" spans="1:13">
      <c r="A353" s="213"/>
      <c r="B353" s="278"/>
      <c r="C353" s="278"/>
      <c r="D353" s="278"/>
      <c r="E353" s="279"/>
      <c r="F353" s="278"/>
      <c r="G353" s="278"/>
      <c r="H353" s="278"/>
      <c r="I353" s="279"/>
      <c r="J353" s="278"/>
      <c r="K353" s="278"/>
      <c r="L353" s="278"/>
      <c r="M353" s="212"/>
    </row>
    <row r="354" spans="1:13">
      <c r="A354" s="213"/>
      <c r="B354" s="278"/>
      <c r="C354" s="278"/>
      <c r="D354" s="278"/>
      <c r="E354" s="279"/>
      <c r="F354" s="278"/>
      <c r="G354" s="278"/>
      <c r="H354" s="278"/>
      <c r="I354" s="279"/>
      <c r="J354" s="278"/>
      <c r="K354" s="278"/>
      <c r="L354" s="278"/>
      <c r="M354" s="212"/>
    </row>
    <row r="355" spans="1:13">
      <c r="A355" s="213"/>
      <c r="B355" s="278"/>
      <c r="C355" s="278"/>
      <c r="D355" s="278"/>
      <c r="E355" s="279"/>
      <c r="F355" s="278"/>
      <c r="G355" s="278"/>
      <c r="H355" s="278"/>
      <c r="I355" s="279"/>
      <c r="J355" s="278"/>
      <c r="K355" s="278"/>
      <c r="L355" s="278"/>
      <c r="M355" s="212"/>
    </row>
    <row r="356" spans="1:13">
      <c r="A356" s="213"/>
      <c r="B356" s="278"/>
      <c r="C356" s="278"/>
      <c r="D356" s="278"/>
      <c r="E356" s="279"/>
      <c r="F356" s="278"/>
      <c r="G356" s="278"/>
      <c r="H356" s="278"/>
      <c r="I356" s="279"/>
      <c r="J356" s="278"/>
      <c r="K356" s="278"/>
      <c r="L356" s="278"/>
      <c r="M356" s="212"/>
    </row>
    <row r="357" spans="1:13">
      <c r="A357" s="213"/>
      <c r="B357" s="278"/>
      <c r="C357" s="278"/>
      <c r="D357" s="278"/>
      <c r="E357" s="279"/>
      <c r="F357" s="278"/>
      <c r="G357" s="278"/>
      <c r="H357" s="278"/>
      <c r="I357" s="279"/>
      <c r="J357" s="278"/>
      <c r="K357" s="278"/>
      <c r="L357" s="278"/>
      <c r="M357" s="212"/>
    </row>
    <row r="358" spans="1:13">
      <c r="A358" s="213"/>
      <c r="B358" s="278"/>
      <c r="C358" s="278"/>
      <c r="D358" s="278"/>
      <c r="E358" s="279"/>
      <c r="F358" s="278"/>
      <c r="G358" s="278"/>
      <c r="H358" s="278"/>
      <c r="I358" s="279"/>
      <c r="J358" s="278"/>
      <c r="K358" s="278"/>
      <c r="L358" s="278"/>
      <c r="M358" s="212"/>
    </row>
    <row r="359" spans="1:13">
      <c r="A359" s="213"/>
      <c r="B359" s="279"/>
      <c r="C359" s="279"/>
      <c r="D359" s="279"/>
      <c r="E359" s="279"/>
      <c r="F359" s="279"/>
      <c r="G359" s="279"/>
      <c r="H359" s="279"/>
      <c r="I359" s="279"/>
      <c r="J359" s="279"/>
      <c r="K359" s="279"/>
      <c r="L359" s="279"/>
      <c r="M359" s="212"/>
    </row>
    <row r="360" spans="1:13">
      <c r="A360" s="213"/>
      <c r="B360" s="213"/>
      <c r="C360" s="213"/>
      <c r="D360" s="213"/>
      <c r="E360" s="213"/>
      <c r="F360" s="213"/>
      <c r="G360" s="213"/>
      <c r="H360" s="213"/>
      <c r="I360" s="213"/>
      <c r="J360" s="213"/>
      <c r="K360" s="213"/>
      <c r="L360" s="216"/>
      <c r="M360" s="212"/>
    </row>
    <row r="361" spans="1:13">
      <c r="A361" s="213"/>
      <c r="B361" s="213"/>
      <c r="C361" s="213"/>
      <c r="D361" s="213"/>
      <c r="E361" s="213"/>
      <c r="F361" s="213"/>
      <c r="G361" s="213"/>
      <c r="H361" s="213"/>
      <c r="I361" s="213"/>
      <c r="J361" s="213"/>
      <c r="K361" s="213"/>
      <c r="L361" s="260"/>
      <c r="M361" s="212"/>
    </row>
    <row r="362" spans="1:13">
      <c r="A362" s="234"/>
      <c r="B362" s="217"/>
      <c r="C362" s="217"/>
      <c r="D362" s="217"/>
      <c r="E362" s="217"/>
      <c r="F362" s="217"/>
      <c r="G362" s="217"/>
      <c r="H362" s="217"/>
      <c r="I362" s="217"/>
      <c r="J362" s="217"/>
      <c r="K362" s="217"/>
      <c r="L362" s="212"/>
      <c r="M362" s="212"/>
    </row>
    <row r="363" spans="1:13">
      <c r="A363" s="217"/>
      <c r="B363" s="347"/>
      <c r="C363" s="347"/>
      <c r="D363" s="347"/>
      <c r="E363" s="229"/>
      <c r="F363" s="347"/>
      <c r="G363" s="347"/>
      <c r="H363" s="347"/>
      <c r="I363" s="229"/>
      <c r="J363" s="347"/>
      <c r="K363" s="347"/>
      <c r="L363" s="347"/>
      <c r="M363" s="212"/>
    </row>
    <row r="364" spans="1:13">
      <c r="A364" s="234"/>
      <c r="B364" s="235"/>
      <c r="C364" s="235"/>
      <c r="D364" s="235"/>
      <c r="E364" s="235"/>
      <c r="F364" s="235"/>
      <c r="G364" s="235"/>
      <c r="H364" s="235"/>
      <c r="I364" s="235"/>
      <c r="J364" s="235"/>
      <c r="K364" s="235"/>
      <c r="L364" s="235"/>
      <c r="M364" s="212"/>
    </row>
    <row r="365" spans="1:13">
      <c r="A365" s="234"/>
      <c r="B365" s="235"/>
      <c r="C365" s="235"/>
      <c r="D365" s="235"/>
      <c r="E365" s="235"/>
      <c r="F365" s="235"/>
      <c r="G365" s="235"/>
      <c r="H365" s="235"/>
      <c r="I365" s="235"/>
      <c r="J365" s="235"/>
      <c r="K365" s="235"/>
      <c r="L365" s="235"/>
      <c r="M365" s="212"/>
    </row>
    <row r="366" spans="1:13">
      <c r="A366" s="213"/>
      <c r="B366" s="278"/>
      <c r="C366" s="278"/>
      <c r="D366" s="278"/>
      <c r="E366" s="279"/>
      <c r="F366" s="278"/>
      <c r="G366" s="278"/>
      <c r="H366" s="278"/>
      <c r="I366" s="279"/>
      <c r="J366" s="278"/>
      <c r="K366" s="278"/>
      <c r="L366" s="278"/>
      <c r="M366" s="212"/>
    </row>
    <row r="367" spans="1:13">
      <c r="A367" s="213"/>
      <c r="B367" s="278"/>
      <c r="C367" s="278"/>
      <c r="D367" s="278"/>
      <c r="E367" s="279"/>
      <c r="F367" s="278"/>
      <c r="G367" s="278"/>
      <c r="H367" s="278"/>
      <c r="I367" s="279"/>
      <c r="J367" s="278"/>
      <c r="K367" s="278"/>
      <c r="L367" s="278"/>
      <c r="M367" s="212"/>
    </row>
    <row r="368" spans="1:13">
      <c r="A368" s="213"/>
      <c r="B368" s="278"/>
      <c r="C368" s="278"/>
      <c r="D368" s="278"/>
      <c r="E368" s="279"/>
      <c r="F368" s="278"/>
      <c r="G368" s="278"/>
      <c r="H368" s="278"/>
      <c r="I368" s="279"/>
      <c r="J368" s="278"/>
      <c r="K368" s="278"/>
      <c r="L368" s="278"/>
      <c r="M368" s="212"/>
    </row>
    <row r="369" spans="1:13">
      <c r="A369" s="213"/>
      <c r="B369" s="278"/>
      <c r="C369" s="278"/>
      <c r="D369" s="278"/>
      <c r="E369" s="279"/>
      <c r="F369" s="278"/>
      <c r="G369" s="278"/>
      <c r="H369" s="278"/>
      <c r="I369" s="279"/>
      <c r="J369" s="278"/>
      <c r="K369" s="278"/>
      <c r="L369" s="278"/>
      <c r="M369" s="212"/>
    </row>
    <row r="370" spans="1:13">
      <c r="A370" s="213"/>
      <c r="B370" s="278"/>
      <c r="C370" s="278"/>
      <c r="D370" s="278"/>
      <c r="E370" s="279"/>
      <c r="F370" s="278"/>
      <c r="G370" s="278"/>
      <c r="H370" s="278"/>
      <c r="I370" s="279"/>
      <c r="J370" s="278"/>
      <c r="K370" s="278"/>
      <c r="L370" s="278"/>
      <c r="M370" s="212"/>
    </row>
    <row r="371" spans="1:13">
      <c r="A371" s="213"/>
      <c r="B371" s="278"/>
      <c r="C371" s="278"/>
      <c r="D371" s="278"/>
      <c r="E371" s="279"/>
      <c r="F371" s="278"/>
      <c r="G371" s="278"/>
      <c r="H371" s="278"/>
      <c r="I371" s="279"/>
      <c r="J371" s="278"/>
      <c r="K371" s="278"/>
      <c r="L371" s="278"/>
      <c r="M371" s="212"/>
    </row>
    <row r="372" spans="1:13">
      <c r="A372" s="213"/>
      <c r="B372" s="278"/>
      <c r="C372" s="278"/>
      <c r="D372" s="278"/>
      <c r="E372" s="279"/>
      <c r="F372" s="278"/>
      <c r="G372" s="278"/>
      <c r="H372" s="278"/>
      <c r="I372" s="279"/>
      <c r="J372" s="278"/>
      <c r="K372" s="278"/>
      <c r="L372" s="278"/>
      <c r="M372" s="212"/>
    </row>
    <row r="373" spans="1:13">
      <c r="A373" s="213"/>
      <c r="B373" s="278"/>
      <c r="C373" s="278"/>
      <c r="D373" s="278"/>
      <c r="E373" s="279"/>
      <c r="F373" s="278"/>
      <c r="G373" s="278"/>
      <c r="H373" s="278"/>
      <c r="I373" s="279"/>
      <c r="J373" s="278"/>
      <c r="K373" s="278"/>
      <c r="L373" s="278"/>
      <c r="M373" s="212"/>
    </row>
    <row r="374" spans="1:13">
      <c r="A374" s="213"/>
      <c r="B374" s="278"/>
      <c r="C374" s="278"/>
      <c r="D374" s="278"/>
      <c r="E374" s="279"/>
      <c r="F374" s="278"/>
      <c r="G374" s="278"/>
      <c r="H374" s="278"/>
      <c r="I374" s="279"/>
      <c r="J374" s="278"/>
      <c r="K374" s="278"/>
      <c r="L374" s="278"/>
      <c r="M374" s="212"/>
    </row>
    <row r="375" spans="1:13">
      <c r="A375" s="213"/>
      <c r="B375" s="278"/>
      <c r="C375" s="278"/>
      <c r="D375" s="278"/>
      <c r="E375" s="279"/>
      <c r="F375" s="278"/>
      <c r="G375" s="278"/>
      <c r="H375" s="278"/>
      <c r="I375" s="279"/>
      <c r="J375" s="278"/>
      <c r="K375" s="278"/>
      <c r="L375" s="278"/>
      <c r="M375" s="212"/>
    </row>
    <row r="376" spans="1:13">
      <c r="A376" s="213"/>
      <c r="B376" s="279"/>
      <c r="C376" s="279"/>
      <c r="D376" s="279"/>
      <c r="E376" s="279"/>
      <c r="F376" s="279"/>
      <c r="G376" s="279"/>
      <c r="H376" s="279"/>
      <c r="I376" s="279"/>
      <c r="J376" s="279"/>
      <c r="K376" s="279"/>
      <c r="L376" s="279"/>
      <c r="M376" s="212"/>
    </row>
    <row r="377" spans="1:13">
      <c r="A377" s="213"/>
      <c r="B377" s="213"/>
      <c r="C377" s="213"/>
      <c r="D377" s="213"/>
      <c r="E377" s="213"/>
      <c r="F377" s="213"/>
      <c r="G377" s="213"/>
      <c r="H377" s="213"/>
      <c r="I377" s="213"/>
      <c r="J377" s="213"/>
      <c r="K377" s="213"/>
      <c r="L377" s="216"/>
      <c r="M377" s="212"/>
    </row>
    <row r="378" spans="1:13">
      <c r="A378" s="213"/>
      <c r="B378" s="213"/>
      <c r="C378" s="213"/>
      <c r="D378" s="213"/>
      <c r="E378" s="213"/>
      <c r="F378" s="213"/>
      <c r="G378" s="213"/>
      <c r="H378" s="213"/>
      <c r="I378" s="213"/>
      <c r="J378" s="213"/>
      <c r="K378" s="213"/>
      <c r="L378" s="260"/>
      <c r="M378" s="212"/>
    </row>
    <row r="379" spans="1:13">
      <c r="A379" s="234"/>
      <c r="B379" s="217"/>
      <c r="C379" s="217"/>
      <c r="D379" s="217"/>
      <c r="E379" s="217"/>
      <c r="F379" s="217"/>
      <c r="G379" s="217"/>
      <c r="H379" s="217"/>
      <c r="I379" s="217"/>
      <c r="J379" s="217"/>
      <c r="K379" s="217"/>
      <c r="L379" s="212"/>
      <c r="M379" s="212"/>
    </row>
    <row r="380" spans="1:13">
      <c r="A380" s="217"/>
      <c r="B380" s="347"/>
      <c r="C380" s="347"/>
      <c r="D380" s="347"/>
      <c r="E380" s="229"/>
      <c r="F380" s="347"/>
      <c r="G380" s="347"/>
      <c r="H380" s="347"/>
      <c r="I380" s="229"/>
      <c r="J380" s="347"/>
      <c r="K380" s="347"/>
      <c r="L380" s="347"/>
      <c r="M380" s="212"/>
    </row>
    <row r="381" spans="1:13">
      <c r="A381" s="234"/>
      <c r="B381" s="235"/>
      <c r="C381" s="235"/>
      <c r="D381" s="235"/>
      <c r="E381" s="235"/>
      <c r="F381" s="235"/>
      <c r="G381" s="235"/>
      <c r="H381" s="235"/>
      <c r="I381" s="235"/>
      <c r="J381" s="235"/>
      <c r="K381" s="235"/>
      <c r="L381" s="235"/>
      <c r="M381" s="212"/>
    </row>
    <row r="382" spans="1:13">
      <c r="A382" s="234"/>
      <c r="B382" s="235"/>
      <c r="C382" s="235"/>
      <c r="D382" s="235"/>
      <c r="E382" s="235"/>
      <c r="F382" s="235"/>
      <c r="G382" s="235"/>
      <c r="H382" s="235"/>
      <c r="I382" s="235"/>
      <c r="J382" s="235"/>
      <c r="K382" s="235"/>
      <c r="L382" s="235"/>
      <c r="M382" s="212"/>
    </row>
    <row r="383" spans="1:13">
      <c r="A383" s="213"/>
      <c r="B383" s="278"/>
      <c r="C383" s="278"/>
      <c r="D383" s="278"/>
      <c r="E383" s="279"/>
      <c r="F383" s="278"/>
      <c r="G383" s="278"/>
      <c r="H383" s="278"/>
      <c r="I383" s="279"/>
      <c r="J383" s="278"/>
      <c r="K383" s="278"/>
      <c r="L383" s="278"/>
      <c r="M383" s="212"/>
    </row>
    <row r="384" spans="1:13">
      <c r="A384" s="213"/>
      <c r="B384" s="278"/>
      <c r="C384" s="278"/>
      <c r="D384" s="278"/>
      <c r="E384" s="279"/>
      <c r="F384" s="278"/>
      <c r="G384" s="278"/>
      <c r="H384" s="278"/>
      <c r="I384" s="279"/>
      <c r="J384" s="278"/>
      <c r="K384" s="278"/>
      <c r="L384" s="278"/>
      <c r="M384" s="212"/>
    </row>
    <row r="385" spans="1:13">
      <c r="A385" s="213"/>
      <c r="B385" s="278"/>
      <c r="C385" s="278"/>
      <c r="D385" s="278"/>
      <c r="E385" s="279"/>
      <c r="F385" s="278"/>
      <c r="G385" s="278"/>
      <c r="H385" s="278"/>
      <c r="I385" s="279"/>
      <c r="J385" s="278"/>
      <c r="K385" s="278"/>
      <c r="L385" s="278"/>
      <c r="M385" s="212"/>
    </row>
    <row r="386" spans="1:13">
      <c r="A386" s="213"/>
      <c r="B386" s="278"/>
      <c r="C386" s="278"/>
      <c r="D386" s="278"/>
      <c r="E386" s="279"/>
      <c r="F386" s="278"/>
      <c r="G386" s="278"/>
      <c r="H386" s="278"/>
      <c r="I386" s="279"/>
      <c r="J386" s="278"/>
      <c r="K386" s="278"/>
      <c r="L386" s="278"/>
      <c r="M386" s="212"/>
    </row>
    <row r="387" spans="1:13">
      <c r="A387" s="213"/>
      <c r="B387" s="278"/>
      <c r="C387" s="278"/>
      <c r="D387" s="278"/>
      <c r="E387" s="279"/>
      <c r="F387" s="278"/>
      <c r="G387" s="278"/>
      <c r="H387" s="278"/>
      <c r="I387" s="279"/>
      <c r="J387" s="278"/>
      <c r="K387" s="278"/>
      <c r="L387" s="278"/>
      <c r="M387" s="212"/>
    </row>
    <row r="388" spans="1:13">
      <c r="A388" s="213"/>
      <c r="B388" s="278"/>
      <c r="C388" s="278"/>
      <c r="D388" s="278"/>
      <c r="E388" s="279"/>
      <c r="F388" s="278"/>
      <c r="G388" s="278"/>
      <c r="H388" s="278"/>
      <c r="I388" s="279"/>
      <c r="J388" s="278"/>
      <c r="K388" s="278"/>
      <c r="L388" s="278"/>
      <c r="M388" s="212"/>
    </row>
    <row r="389" spans="1:13">
      <c r="A389" s="213"/>
      <c r="B389" s="278"/>
      <c r="C389" s="278"/>
      <c r="D389" s="278"/>
      <c r="E389" s="279"/>
      <c r="F389" s="278"/>
      <c r="G389" s="278"/>
      <c r="H389" s="278"/>
      <c r="I389" s="279"/>
      <c r="J389" s="278"/>
      <c r="K389" s="278"/>
      <c r="L389" s="278"/>
      <c r="M389" s="212"/>
    </row>
    <row r="390" spans="1:13">
      <c r="A390" s="213"/>
      <c r="B390" s="278"/>
      <c r="C390" s="278"/>
      <c r="D390" s="278"/>
      <c r="E390" s="279"/>
      <c r="F390" s="278"/>
      <c r="G390" s="278"/>
      <c r="H390" s="278"/>
      <c r="I390" s="279"/>
      <c r="J390" s="278"/>
      <c r="K390" s="278"/>
      <c r="L390" s="278"/>
      <c r="M390" s="212"/>
    </row>
    <row r="391" spans="1:13">
      <c r="A391" s="213"/>
      <c r="B391" s="278"/>
      <c r="C391" s="278"/>
      <c r="D391" s="278"/>
      <c r="E391" s="279"/>
      <c r="F391" s="278"/>
      <c r="G391" s="278"/>
      <c r="H391" s="278"/>
      <c r="I391" s="279"/>
      <c r="J391" s="278"/>
      <c r="K391" s="278"/>
      <c r="L391" s="278"/>
      <c r="M391" s="212"/>
    </row>
    <row r="392" spans="1:13">
      <c r="A392" s="213"/>
      <c r="B392" s="278"/>
      <c r="C392" s="278"/>
      <c r="D392" s="278"/>
      <c r="E392" s="279"/>
      <c r="F392" s="278"/>
      <c r="G392" s="278"/>
      <c r="H392" s="278"/>
      <c r="I392" s="279"/>
      <c r="J392" s="278"/>
      <c r="K392" s="278"/>
      <c r="L392" s="278"/>
      <c r="M392" s="212"/>
    </row>
    <row r="393" spans="1:13">
      <c r="A393" s="213"/>
      <c r="B393" s="279"/>
      <c r="C393" s="279"/>
      <c r="D393" s="279"/>
      <c r="E393" s="279"/>
      <c r="F393" s="279"/>
      <c r="G393" s="279"/>
      <c r="H393" s="279"/>
      <c r="I393" s="279"/>
      <c r="J393" s="279"/>
      <c r="K393" s="279"/>
      <c r="L393" s="279"/>
      <c r="M393" s="212"/>
    </row>
    <row r="394" spans="1:13">
      <c r="A394" s="213"/>
      <c r="B394" s="213"/>
      <c r="C394" s="213"/>
      <c r="D394" s="213"/>
      <c r="E394" s="213"/>
      <c r="F394" s="213"/>
      <c r="G394" s="213"/>
      <c r="H394" s="213"/>
      <c r="I394" s="213"/>
      <c r="J394" s="213"/>
      <c r="K394" s="213"/>
      <c r="L394" s="216"/>
      <c r="M394" s="212"/>
    </row>
    <row r="395" spans="1:13">
      <c r="A395" s="213"/>
      <c r="B395" s="213"/>
      <c r="C395" s="213"/>
      <c r="D395" s="213"/>
      <c r="E395" s="213"/>
      <c r="F395" s="213"/>
      <c r="G395" s="213"/>
      <c r="H395" s="213"/>
      <c r="I395" s="213"/>
      <c r="J395" s="213"/>
      <c r="K395" s="213"/>
      <c r="L395" s="260"/>
      <c r="M395" s="212"/>
    </row>
    <row r="396" spans="1:13">
      <c r="A396" s="234"/>
      <c r="B396" s="217"/>
      <c r="C396" s="217"/>
      <c r="D396" s="217"/>
      <c r="E396" s="217"/>
      <c r="F396" s="217"/>
      <c r="G396" s="217"/>
      <c r="H396" s="217"/>
      <c r="I396" s="217"/>
      <c r="J396" s="217"/>
      <c r="K396" s="217"/>
      <c r="L396" s="212"/>
      <c r="M396" s="212"/>
    </row>
    <row r="397" spans="1:13">
      <c r="A397" s="217"/>
      <c r="B397" s="347"/>
      <c r="C397" s="347"/>
      <c r="D397" s="347"/>
      <c r="E397" s="229"/>
      <c r="F397" s="347"/>
      <c r="G397" s="347"/>
      <c r="H397" s="347"/>
      <c r="I397" s="229"/>
      <c r="J397" s="347"/>
      <c r="K397" s="347"/>
      <c r="L397" s="347"/>
      <c r="M397" s="212"/>
    </row>
    <row r="398" spans="1:13">
      <c r="A398" s="234"/>
      <c r="B398" s="235"/>
      <c r="C398" s="235"/>
      <c r="D398" s="235"/>
      <c r="E398" s="235"/>
      <c r="F398" s="235"/>
      <c r="G398" s="235"/>
      <c r="H398" s="235"/>
      <c r="I398" s="235"/>
      <c r="J398" s="235"/>
      <c r="K398" s="235"/>
      <c r="L398" s="235"/>
      <c r="M398" s="212"/>
    </row>
    <row r="399" spans="1:13">
      <c r="A399" s="234"/>
      <c r="B399" s="235"/>
      <c r="C399" s="235"/>
      <c r="D399" s="235"/>
      <c r="E399" s="235"/>
      <c r="F399" s="235"/>
      <c r="G399" s="235"/>
      <c r="H399" s="235"/>
      <c r="I399" s="235"/>
      <c r="J399" s="235"/>
      <c r="K399" s="235"/>
      <c r="L399" s="235"/>
      <c r="M399" s="212"/>
    </row>
    <row r="400" spans="1:13">
      <c r="A400" s="213"/>
      <c r="B400" s="278"/>
      <c r="C400" s="278"/>
      <c r="D400" s="278"/>
      <c r="E400" s="279"/>
      <c r="F400" s="278"/>
      <c r="G400" s="278"/>
      <c r="H400" s="278"/>
      <c r="I400" s="279"/>
      <c r="J400" s="278"/>
      <c r="K400" s="278"/>
      <c r="L400" s="278"/>
      <c r="M400" s="212"/>
    </row>
    <row r="401" spans="1:13">
      <c r="A401" s="213"/>
      <c r="B401" s="278"/>
      <c r="C401" s="278"/>
      <c r="D401" s="278"/>
      <c r="E401" s="279"/>
      <c r="F401" s="278"/>
      <c r="G401" s="278"/>
      <c r="H401" s="278"/>
      <c r="I401" s="279"/>
      <c r="J401" s="278"/>
      <c r="K401" s="278"/>
      <c r="L401" s="278"/>
      <c r="M401" s="212"/>
    </row>
    <row r="402" spans="1:13">
      <c r="A402" s="213"/>
      <c r="B402" s="278"/>
      <c r="C402" s="278"/>
      <c r="D402" s="278"/>
      <c r="E402" s="279"/>
      <c r="F402" s="278"/>
      <c r="G402" s="278"/>
      <c r="H402" s="278"/>
      <c r="I402" s="279"/>
      <c r="J402" s="278"/>
      <c r="K402" s="278"/>
      <c r="L402" s="278"/>
      <c r="M402" s="212"/>
    </row>
    <row r="403" spans="1:13">
      <c r="A403" s="213"/>
      <c r="B403" s="278"/>
      <c r="C403" s="278"/>
      <c r="D403" s="278"/>
      <c r="E403" s="279"/>
      <c r="F403" s="278"/>
      <c r="G403" s="278"/>
      <c r="H403" s="278"/>
      <c r="I403" s="279"/>
      <c r="J403" s="278"/>
      <c r="K403" s="278"/>
      <c r="L403" s="278"/>
      <c r="M403" s="212"/>
    </row>
    <row r="404" spans="1:13">
      <c r="A404" s="213"/>
      <c r="B404" s="278"/>
      <c r="C404" s="278"/>
      <c r="D404" s="278"/>
      <c r="E404" s="279"/>
      <c r="F404" s="278"/>
      <c r="G404" s="278"/>
      <c r="H404" s="278"/>
      <c r="I404" s="279"/>
      <c r="J404" s="278"/>
      <c r="K404" s="278"/>
      <c r="L404" s="278"/>
      <c r="M404" s="212"/>
    </row>
    <row r="405" spans="1:13">
      <c r="A405" s="213"/>
      <c r="B405" s="278"/>
      <c r="C405" s="278"/>
      <c r="D405" s="278"/>
      <c r="E405" s="279"/>
      <c r="F405" s="278"/>
      <c r="G405" s="278"/>
      <c r="H405" s="278"/>
      <c r="I405" s="279"/>
      <c r="J405" s="278"/>
      <c r="K405" s="278"/>
      <c r="L405" s="278"/>
      <c r="M405" s="212"/>
    </row>
    <row r="406" spans="1:13">
      <c r="A406" s="213"/>
      <c r="B406" s="278"/>
      <c r="C406" s="278"/>
      <c r="D406" s="278"/>
      <c r="E406" s="279"/>
      <c r="F406" s="278"/>
      <c r="G406" s="278"/>
      <c r="H406" s="278"/>
      <c r="I406" s="279"/>
      <c r="J406" s="278"/>
      <c r="K406" s="278"/>
      <c r="L406" s="278"/>
      <c r="M406" s="212"/>
    </row>
    <row r="407" spans="1:13">
      <c r="A407" s="213"/>
      <c r="B407" s="278"/>
      <c r="C407" s="278"/>
      <c r="D407" s="278"/>
      <c r="E407" s="279"/>
      <c r="F407" s="278"/>
      <c r="G407" s="278"/>
      <c r="H407" s="278"/>
      <c r="I407" s="279"/>
      <c r="J407" s="278"/>
      <c r="K407" s="278"/>
      <c r="L407" s="278"/>
      <c r="M407" s="212"/>
    </row>
    <row r="408" spans="1:13">
      <c r="A408" s="213"/>
      <c r="B408" s="278"/>
      <c r="C408" s="278"/>
      <c r="D408" s="278"/>
      <c r="E408" s="279"/>
      <c r="F408" s="278"/>
      <c r="G408" s="278"/>
      <c r="H408" s="278"/>
      <c r="I408" s="279"/>
      <c r="J408" s="278"/>
      <c r="K408" s="278"/>
      <c r="L408" s="278"/>
      <c r="M408" s="212"/>
    </row>
    <row r="409" spans="1:13">
      <c r="A409" s="213"/>
      <c r="B409" s="278"/>
      <c r="C409" s="278"/>
      <c r="D409" s="278"/>
      <c r="E409" s="279"/>
      <c r="F409" s="278"/>
      <c r="G409" s="278"/>
      <c r="H409" s="278"/>
      <c r="I409" s="279"/>
      <c r="J409" s="278"/>
      <c r="K409" s="278"/>
      <c r="L409" s="278"/>
      <c r="M409" s="212"/>
    </row>
    <row r="410" spans="1:13">
      <c r="A410" s="213"/>
      <c r="B410" s="279"/>
      <c r="C410" s="279"/>
      <c r="D410" s="279"/>
      <c r="E410" s="279"/>
      <c r="F410" s="279"/>
      <c r="G410" s="279"/>
      <c r="H410" s="279"/>
      <c r="I410" s="279"/>
      <c r="J410" s="279"/>
      <c r="K410" s="279"/>
      <c r="L410" s="279"/>
      <c r="M410" s="212"/>
    </row>
    <row r="411" spans="1:13">
      <c r="A411" s="213"/>
      <c r="B411" s="213"/>
      <c r="C411" s="213"/>
      <c r="D411" s="213"/>
      <c r="E411" s="213"/>
      <c r="F411" s="213"/>
      <c r="G411" s="213"/>
      <c r="H411" s="213"/>
      <c r="I411" s="213"/>
      <c r="J411" s="213"/>
      <c r="K411" s="213"/>
      <c r="L411" s="216"/>
      <c r="M411" s="212"/>
    </row>
    <row r="412" spans="1:13">
      <c r="A412" s="213"/>
      <c r="B412" s="213"/>
      <c r="C412" s="213"/>
      <c r="D412" s="213"/>
      <c r="E412" s="213"/>
      <c r="F412" s="213"/>
      <c r="G412" s="213"/>
      <c r="H412" s="213"/>
      <c r="I412" s="213"/>
      <c r="J412" s="213"/>
      <c r="K412" s="213"/>
      <c r="L412" s="260"/>
      <c r="M412" s="212"/>
    </row>
    <row r="413" spans="1:13">
      <c r="A413" s="234"/>
      <c r="B413" s="217"/>
      <c r="C413" s="217"/>
      <c r="D413" s="217"/>
      <c r="E413" s="217"/>
      <c r="F413" s="217"/>
      <c r="G413" s="217"/>
      <c r="H413" s="217"/>
      <c r="I413" s="217"/>
      <c r="J413" s="217"/>
      <c r="K413" s="217"/>
      <c r="L413" s="212"/>
      <c r="M413" s="212"/>
    </row>
    <row r="414" spans="1:13">
      <c r="A414" s="217"/>
      <c r="B414" s="347"/>
      <c r="C414" s="347"/>
      <c r="D414" s="347"/>
      <c r="E414" s="229"/>
      <c r="F414" s="347"/>
      <c r="G414" s="347"/>
      <c r="H414" s="347"/>
      <c r="I414" s="229"/>
      <c r="J414" s="347"/>
      <c r="K414" s="347"/>
      <c r="L414" s="347"/>
      <c r="M414" s="212"/>
    </row>
    <row r="415" spans="1:13">
      <c r="A415" s="234"/>
      <c r="B415" s="235"/>
      <c r="C415" s="235"/>
      <c r="D415" s="235"/>
      <c r="E415" s="235"/>
      <c r="F415" s="235"/>
      <c r="G415" s="235"/>
      <c r="H415" s="235"/>
      <c r="I415" s="235"/>
      <c r="J415" s="235"/>
      <c r="K415" s="235"/>
      <c r="L415" s="235"/>
      <c r="M415" s="212"/>
    </row>
    <row r="416" spans="1:13">
      <c r="A416" s="234"/>
      <c r="B416" s="235"/>
      <c r="C416" s="235"/>
      <c r="D416" s="235"/>
      <c r="E416" s="235"/>
      <c r="F416" s="235"/>
      <c r="G416" s="235"/>
      <c r="H416" s="235"/>
      <c r="I416" s="235"/>
      <c r="J416" s="235"/>
      <c r="K416" s="235"/>
      <c r="L416" s="235"/>
      <c r="M416" s="212"/>
    </row>
    <row r="417" spans="1:13">
      <c r="A417" s="213"/>
      <c r="B417" s="278"/>
      <c r="C417" s="278"/>
      <c r="D417" s="278"/>
      <c r="E417" s="279"/>
      <c r="F417" s="278"/>
      <c r="G417" s="278"/>
      <c r="H417" s="278"/>
      <c r="I417" s="279"/>
      <c r="J417" s="278"/>
      <c r="K417" s="278"/>
      <c r="L417" s="278"/>
      <c r="M417" s="212"/>
    </row>
    <row r="418" spans="1:13">
      <c r="A418" s="213"/>
      <c r="B418" s="278"/>
      <c r="C418" s="278"/>
      <c r="D418" s="278"/>
      <c r="E418" s="279"/>
      <c r="F418" s="278"/>
      <c r="G418" s="278"/>
      <c r="H418" s="278"/>
      <c r="I418" s="279"/>
      <c r="J418" s="278"/>
      <c r="K418" s="278"/>
      <c r="L418" s="278"/>
      <c r="M418" s="212"/>
    </row>
    <row r="419" spans="1:13">
      <c r="A419" s="213"/>
      <c r="B419" s="278"/>
      <c r="C419" s="278"/>
      <c r="D419" s="278"/>
      <c r="E419" s="279"/>
      <c r="F419" s="278"/>
      <c r="G419" s="278"/>
      <c r="H419" s="278"/>
      <c r="I419" s="279"/>
      <c r="J419" s="278"/>
      <c r="K419" s="278"/>
      <c r="L419" s="278"/>
      <c r="M419" s="212"/>
    </row>
    <row r="420" spans="1:13">
      <c r="A420" s="213"/>
      <c r="B420" s="278"/>
      <c r="C420" s="278"/>
      <c r="D420" s="278"/>
      <c r="E420" s="279"/>
      <c r="F420" s="278"/>
      <c r="G420" s="278"/>
      <c r="H420" s="278"/>
      <c r="I420" s="279"/>
      <c r="J420" s="278"/>
      <c r="K420" s="278"/>
      <c r="L420" s="278"/>
      <c r="M420" s="212"/>
    </row>
    <row r="421" spans="1:13">
      <c r="A421" s="213"/>
      <c r="B421" s="278"/>
      <c r="C421" s="278"/>
      <c r="D421" s="278"/>
      <c r="E421" s="279"/>
      <c r="F421" s="278"/>
      <c r="G421" s="278"/>
      <c r="H421" s="278"/>
      <c r="I421" s="279"/>
      <c r="J421" s="278"/>
      <c r="K421" s="278"/>
      <c r="L421" s="278"/>
      <c r="M421" s="212"/>
    </row>
    <row r="422" spans="1:13">
      <c r="A422" s="213"/>
      <c r="B422" s="278"/>
      <c r="C422" s="278"/>
      <c r="D422" s="278"/>
      <c r="E422" s="279"/>
      <c r="F422" s="278"/>
      <c r="G422" s="278"/>
      <c r="H422" s="278"/>
      <c r="I422" s="279"/>
      <c r="J422" s="278"/>
      <c r="K422" s="278"/>
      <c r="L422" s="278"/>
      <c r="M422" s="212"/>
    </row>
    <row r="423" spans="1:13">
      <c r="A423" s="213"/>
      <c r="B423" s="278"/>
      <c r="C423" s="278"/>
      <c r="D423" s="278"/>
      <c r="E423" s="279"/>
      <c r="F423" s="278"/>
      <c r="G423" s="278"/>
      <c r="H423" s="278"/>
      <c r="I423" s="279"/>
      <c r="J423" s="278"/>
      <c r="K423" s="278"/>
      <c r="L423" s="278"/>
      <c r="M423" s="212"/>
    </row>
    <row r="424" spans="1:13">
      <c r="A424" s="213"/>
      <c r="B424" s="278"/>
      <c r="C424" s="278"/>
      <c r="D424" s="278"/>
      <c r="E424" s="279"/>
      <c r="F424" s="278"/>
      <c r="G424" s="278"/>
      <c r="H424" s="278"/>
      <c r="I424" s="279"/>
      <c r="J424" s="278"/>
      <c r="K424" s="278"/>
      <c r="L424" s="278"/>
      <c r="M424" s="212"/>
    </row>
    <row r="425" spans="1:13">
      <c r="A425" s="213"/>
      <c r="B425" s="278"/>
      <c r="C425" s="278"/>
      <c r="D425" s="278"/>
      <c r="E425" s="279"/>
      <c r="F425" s="278"/>
      <c r="G425" s="278"/>
      <c r="H425" s="278"/>
      <c r="I425" s="279"/>
      <c r="J425" s="278"/>
      <c r="K425" s="278"/>
      <c r="L425" s="278"/>
      <c r="M425" s="212"/>
    </row>
    <row r="426" spans="1:13">
      <c r="A426" s="213"/>
      <c r="B426" s="278"/>
      <c r="C426" s="278"/>
      <c r="D426" s="278"/>
      <c r="E426" s="279"/>
      <c r="F426" s="278"/>
      <c r="G426" s="278"/>
      <c r="H426" s="278"/>
      <c r="I426" s="279"/>
      <c r="J426" s="278"/>
      <c r="K426" s="278"/>
      <c r="L426" s="278"/>
      <c r="M426" s="212"/>
    </row>
    <row r="427" spans="1:13">
      <c r="A427" s="213"/>
      <c r="B427" s="279"/>
      <c r="C427" s="279"/>
      <c r="D427" s="279"/>
      <c r="E427" s="279"/>
      <c r="F427" s="279"/>
      <c r="G427" s="279"/>
      <c r="H427" s="279"/>
      <c r="I427" s="279"/>
      <c r="J427" s="279"/>
      <c r="K427" s="279"/>
      <c r="L427" s="279"/>
      <c r="M427" s="212"/>
    </row>
    <row r="428" spans="1:13">
      <c r="A428" s="213"/>
      <c r="B428" s="213"/>
      <c r="C428" s="213"/>
      <c r="D428" s="213"/>
      <c r="E428" s="213"/>
      <c r="F428" s="213"/>
      <c r="G428" s="213"/>
      <c r="H428" s="213"/>
      <c r="I428" s="213"/>
      <c r="J428" s="213"/>
      <c r="K428" s="213"/>
      <c r="L428" s="216"/>
      <c r="M428" s="212"/>
    </row>
    <row r="429" spans="1:13">
      <c r="A429" s="213"/>
      <c r="B429" s="213"/>
      <c r="C429" s="213"/>
      <c r="D429" s="213"/>
      <c r="E429" s="213"/>
      <c r="F429" s="213"/>
      <c r="G429" s="213"/>
      <c r="H429" s="213"/>
      <c r="I429" s="213"/>
      <c r="J429" s="213"/>
      <c r="K429" s="213"/>
      <c r="L429" s="260"/>
      <c r="M429" s="212"/>
    </row>
    <row r="430" spans="1:13">
      <c r="A430" s="234"/>
      <c r="B430" s="217"/>
      <c r="C430" s="217"/>
      <c r="D430" s="217"/>
      <c r="E430" s="217"/>
      <c r="F430" s="217"/>
      <c r="G430" s="217"/>
      <c r="H430" s="217"/>
      <c r="I430" s="217"/>
      <c r="J430" s="217"/>
      <c r="K430" s="217"/>
      <c r="L430" s="212"/>
      <c r="M430" s="212"/>
    </row>
    <row r="431" spans="1:13">
      <c r="A431" s="217"/>
      <c r="B431" s="347"/>
      <c r="C431" s="347"/>
      <c r="D431" s="347"/>
      <c r="E431" s="229"/>
      <c r="F431" s="347"/>
      <c r="G431" s="347"/>
      <c r="H431" s="347"/>
      <c r="I431" s="229"/>
      <c r="J431" s="347"/>
      <c r="K431" s="347"/>
      <c r="L431" s="347"/>
      <c r="M431" s="212"/>
    </row>
    <row r="432" spans="1:13">
      <c r="A432" s="234"/>
      <c r="B432" s="235"/>
      <c r="C432" s="235"/>
      <c r="D432" s="235"/>
      <c r="E432" s="235"/>
      <c r="F432" s="235"/>
      <c r="G432" s="235"/>
      <c r="H432" s="235"/>
      <c r="I432" s="235"/>
      <c r="J432" s="235"/>
      <c r="K432" s="235"/>
      <c r="L432" s="235"/>
      <c r="M432" s="212"/>
    </row>
    <row r="433" spans="1:13">
      <c r="A433" s="234"/>
      <c r="B433" s="235"/>
      <c r="C433" s="235"/>
      <c r="D433" s="235"/>
      <c r="E433" s="235"/>
      <c r="F433" s="235"/>
      <c r="G433" s="235"/>
      <c r="H433" s="235"/>
      <c r="I433" s="235"/>
      <c r="J433" s="235"/>
      <c r="K433" s="235"/>
      <c r="L433" s="235"/>
      <c r="M433" s="212"/>
    </row>
    <row r="434" spans="1:13">
      <c r="A434" s="213"/>
      <c r="B434" s="278"/>
      <c r="C434" s="278"/>
      <c r="D434" s="278"/>
      <c r="E434" s="279"/>
      <c r="F434" s="278"/>
      <c r="G434" s="278"/>
      <c r="H434" s="278"/>
      <c r="I434" s="279"/>
      <c r="J434" s="278"/>
      <c r="K434" s="278"/>
      <c r="L434" s="278"/>
      <c r="M434" s="212"/>
    </row>
    <row r="435" spans="1:13">
      <c r="A435" s="213"/>
      <c r="B435" s="278"/>
      <c r="C435" s="278"/>
      <c r="D435" s="278"/>
      <c r="E435" s="279"/>
      <c r="F435" s="278"/>
      <c r="G435" s="278"/>
      <c r="H435" s="278"/>
      <c r="I435" s="279"/>
      <c r="J435" s="278"/>
      <c r="K435" s="278"/>
      <c r="L435" s="278"/>
      <c r="M435" s="212"/>
    </row>
    <row r="436" spans="1:13">
      <c r="A436" s="213"/>
      <c r="B436" s="278"/>
      <c r="C436" s="278"/>
      <c r="D436" s="278"/>
      <c r="E436" s="279"/>
      <c r="F436" s="278"/>
      <c r="G436" s="278"/>
      <c r="H436" s="278"/>
      <c r="I436" s="279"/>
      <c r="J436" s="278"/>
      <c r="K436" s="278"/>
      <c r="L436" s="278"/>
      <c r="M436" s="212"/>
    </row>
    <row r="437" spans="1:13">
      <c r="A437" s="213"/>
      <c r="B437" s="278"/>
      <c r="C437" s="278"/>
      <c r="D437" s="278"/>
      <c r="E437" s="279"/>
      <c r="F437" s="278"/>
      <c r="G437" s="278"/>
      <c r="H437" s="278"/>
      <c r="I437" s="279"/>
      <c r="J437" s="278"/>
      <c r="K437" s="278"/>
      <c r="L437" s="278"/>
      <c r="M437" s="212"/>
    </row>
    <row r="438" spans="1:13">
      <c r="A438" s="213"/>
      <c r="B438" s="278"/>
      <c r="C438" s="278"/>
      <c r="D438" s="278"/>
      <c r="E438" s="279"/>
      <c r="F438" s="278"/>
      <c r="G438" s="278"/>
      <c r="H438" s="278"/>
      <c r="I438" s="279"/>
      <c r="J438" s="278"/>
      <c r="K438" s="278"/>
      <c r="L438" s="278"/>
      <c r="M438" s="212"/>
    </row>
    <row r="439" spans="1:13">
      <c r="A439" s="213"/>
      <c r="B439" s="278"/>
      <c r="C439" s="278"/>
      <c r="D439" s="278"/>
      <c r="E439" s="279"/>
      <c r="F439" s="278"/>
      <c r="G439" s="278"/>
      <c r="H439" s="278"/>
      <c r="I439" s="279"/>
      <c r="J439" s="278"/>
      <c r="K439" s="278"/>
      <c r="L439" s="278"/>
      <c r="M439" s="212"/>
    </row>
    <row r="440" spans="1:13">
      <c r="A440" s="213"/>
      <c r="B440" s="278"/>
      <c r="C440" s="278"/>
      <c r="D440" s="278"/>
      <c r="E440" s="279"/>
      <c r="F440" s="278"/>
      <c r="G440" s="278"/>
      <c r="H440" s="278"/>
      <c r="I440" s="279"/>
      <c r="J440" s="278"/>
      <c r="K440" s="278"/>
      <c r="L440" s="278"/>
      <c r="M440" s="212"/>
    </row>
    <row r="441" spans="1:13">
      <c r="A441" s="213"/>
      <c r="B441" s="278"/>
      <c r="C441" s="278"/>
      <c r="D441" s="278"/>
      <c r="E441" s="279"/>
      <c r="F441" s="278"/>
      <c r="G441" s="278"/>
      <c r="H441" s="278"/>
      <c r="I441" s="279"/>
      <c r="J441" s="278"/>
      <c r="K441" s="278"/>
      <c r="L441" s="278"/>
      <c r="M441" s="212"/>
    </row>
    <row r="442" spans="1:13">
      <c r="A442" s="213"/>
      <c r="B442" s="278"/>
      <c r="C442" s="278"/>
      <c r="D442" s="278"/>
      <c r="E442" s="279"/>
      <c r="F442" s="278"/>
      <c r="G442" s="278"/>
      <c r="H442" s="278"/>
      <c r="I442" s="279"/>
      <c r="J442" s="278"/>
      <c r="K442" s="278"/>
      <c r="L442" s="278"/>
      <c r="M442" s="212"/>
    </row>
    <row r="443" spans="1:13">
      <c r="A443" s="213"/>
      <c r="B443" s="278"/>
      <c r="C443" s="278"/>
      <c r="D443" s="278"/>
      <c r="E443" s="279"/>
      <c r="F443" s="278"/>
      <c r="G443" s="278"/>
      <c r="H443" s="278"/>
      <c r="I443" s="279"/>
      <c r="J443" s="278"/>
      <c r="K443" s="278"/>
      <c r="L443" s="278"/>
      <c r="M443" s="212"/>
    </row>
    <row r="444" spans="1:13">
      <c r="A444" s="213"/>
      <c r="B444" s="279"/>
      <c r="C444" s="279"/>
      <c r="D444" s="279"/>
      <c r="E444" s="279"/>
      <c r="F444" s="279"/>
      <c r="G444" s="279"/>
      <c r="H444" s="279"/>
      <c r="I444" s="279"/>
      <c r="J444" s="279"/>
      <c r="K444" s="279"/>
      <c r="L444" s="279"/>
      <c r="M444" s="212"/>
    </row>
    <row r="445" spans="1:13">
      <c r="A445" s="213"/>
      <c r="B445" s="213"/>
      <c r="C445" s="213"/>
      <c r="D445" s="213"/>
      <c r="E445" s="213"/>
      <c r="F445" s="213"/>
      <c r="G445" s="213"/>
      <c r="H445" s="213"/>
      <c r="I445" s="213"/>
      <c r="J445" s="213"/>
      <c r="K445" s="213"/>
      <c r="L445" s="216"/>
      <c r="M445" s="212"/>
    </row>
    <row r="446" spans="1:13">
      <c r="A446" s="213"/>
      <c r="B446" s="213"/>
      <c r="C446" s="213"/>
      <c r="D446" s="213"/>
      <c r="E446" s="213"/>
      <c r="F446" s="213"/>
      <c r="G446" s="213"/>
      <c r="H446" s="213"/>
      <c r="I446" s="213"/>
      <c r="J446" s="213"/>
      <c r="K446" s="213"/>
      <c r="L446" s="260"/>
      <c r="M446" s="212"/>
    </row>
    <row r="447" spans="1:13">
      <c r="A447" s="234"/>
      <c r="B447" s="217"/>
      <c r="C447" s="217"/>
      <c r="D447" s="217"/>
      <c r="E447" s="217"/>
      <c r="F447" s="217"/>
      <c r="G447" s="217"/>
      <c r="H447" s="217"/>
      <c r="I447" s="217"/>
      <c r="J447" s="217"/>
      <c r="K447" s="217"/>
      <c r="L447" s="212"/>
      <c r="M447" s="212"/>
    </row>
    <row r="448" spans="1:13">
      <c r="A448" s="217"/>
      <c r="B448" s="347"/>
      <c r="C448" s="347"/>
      <c r="D448" s="347"/>
      <c r="E448" s="229"/>
      <c r="F448" s="347"/>
      <c r="G448" s="347"/>
      <c r="H448" s="347"/>
      <c r="I448" s="229"/>
      <c r="J448" s="347"/>
      <c r="K448" s="347"/>
      <c r="L448" s="347"/>
      <c r="M448" s="212"/>
    </row>
    <row r="449" spans="1:13">
      <c r="A449" s="234"/>
      <c r="B449" s="235"/>
      <c r="C449" s="235"/>
      <c r="D449" s="235"/>
      <c r="E449" s="235"/>
      <c r="F449" s="235"/>
      <c r="G449" s="235"/>
      <c r="H449" s="235"/>
      <c r="I449" s="235"/>
      <c r="J449" s="235"/>
      <c r="K449" s="235"/>
      <c r="L449" s="235"/>
      <c r="M449" s="212"/>
    </row>
    <row r="450" spans="1:13">
      <c r="A450" s="234"/>
      <c r="B450" s="235"/>
      <c r="C450" s="235"/>
      <c r="D450" s="235"/>
      <c r="E450" s="235"/>
      <c r="F450" s="235"/>
      <c r="G450" s="235"/>
      <c r="H450" s="235"/>
      <c r="I450" s="235"/>
      <c r="J450" s="235"/>
      <c r="K450" s="235"/>
      <c r="L450" s="235"/>
      <c r="M450" s="212"/>
    </row>
    <row r="451" spans="1:13">
      <c r="A451" s="213"/>
      <c r="B451" s="278"/>
      <c r="C451" s="278"/>
      <c r="D451" s="278"/>
      <c r="E451" s="279"/>
      <c r="F451" s="278"/>
      <c r="G451" s="278"/>
      <c r="H451" s="278"/>
      <c r="I451" s="279"/>
      <c r="J451" s="278"/>
      <c r="K451" s="278"/>
      <c r="L451" s="278"/>
      <c r="M451" s="212"/>
    </row>
    <row r="452" spans="1:13">
      <c r="A452" s="213"/>
      <c r="B452" s="278"/>
      <c r="C452" s="278"/>
      <c r="D452" s="278"/>
      <c r="E452" s="279"/>
      <c r="F452" s="278"/>
      <c r="G452" s="278"/>
      <c r="H452" s="278"/>
      <c r="I452" s="279"/>
      <c r="J452" s="278"/>
      <c r="K452" s="278"/>
      <c r="L452" s="278"/>
      <c r="M452" s="212"/>
    </row>
    <row r="453" spans="1:13">
      <c r="A453" s="213"/>
      <c r="B453" s="278"/>
      <c r="C453" s="278"/>
      <c r="D453" s="278"/>
      <c r="E453" s="279"/>
      <c r="F453" s="278"/>
      <c r="G453" s="278"/>
      <c r="H453" s="278"/>
      <c r="I453" s="279"/>
      <c r="J453" s="278"/>
      <c r="K453" s="278"/>
      <c r="L453" s="278"/>
      <c r="M453" s="212"/>
    </row>
    <row r="454" spans="1:13">
      <c r="A454" s="213"/>
      <c r="B454" s="278"/>
      <c r="C454" s="278"/>
      <c r="D454" s="278"/>
      <c r="E454" s="279"/>
      <c r="F454" s="278"/>
      <c r="G454" s="278"/>
      <c r="H454" s="278"/>
      <c r="I454" s="279"/>
      <c r="J454" s="278"/>
      <c r="K454" s="278"/>
      <c r="L454" s="278"/>
      <c r="M454" s="212"/>
    </row>
    <row r="455" spans="1:13">
      <c r="A455" s="213"/>
      <c r="B455" s="278"/>
      <c r="C455" s="278"/>
      <c r="D455" s="278"/>
      <c r="E455" s="279"/>
      <c r="F455" s="278"/>
      <c r="G455" s="278"/>
      <c r="H455" s="278"/>
      <c r="I455" s="279"/>
      <c r="J455" s="278"/>
      <c r="K455" s="278"/>
      <c r="L455" s="278"/>
      <c r="M455" s="212"/>
    </row>
    <row r="456" spans="1:13">
      <c r="A456" s="213"/>
      <c r="B456" s="278"/>
      <c r="C456" s="278"/>
      <c r="D456" s="278"/>
      <c r="E456" s="279"/>
      <c r="F456" s="278"/>
      <c r="G456" s="278"/>
      <c r="H456" s="278"/>
      <c r="I456" s="279"/>
      <c r="J456" s="278"/>
      <c r="K456" s="278"/>
      <c r="L456" s="278"/>
      <c r="M456" s="212"/>
    </row>
    <row r="457" spans="1:13">
      <c r="A457" s="213"/>
      <c r="B457" s="278"/>
      <c r="C457" s="278"/>
      <c r="D457" s="278"/>
      <c r="E457" s="279"/>
      <c r="F457" s="278"/>
      <c r="G457" s="278"/>
      <c r="H457" s="278"/>
      <c r="I457" s="279"/>
      <c r="J457" s="278"/>
      <c r="K457" s="278"/>
      <c r="L457" s="278"/>
      <c r="M457" s="212"/>
    </row>
    <row r="458" spans="1:13">
      <c r="A458" s="213"/>
      <c r="B458" s="278"/>
      <c r="C458" s="278"/>
      <c r="D458" s="278"/>
      <c r="E458" s="279"/>
      <c r="F458" s="278"/>
      <c r="G458" s="278"/>
      <c r="H458" s="278"/>
      <c r="I458" s="279"/>
      <c r="J458" s="278"/>
      <c r="K458" s="278"/>
      <c r="L458" s="278"/>
      <c r="M458" s="212"/>
    </row>
    <row r="459" spans="1:13">
      <c r="A459" s="213"/>
      <c r="B459" s="278"/>
      <c r="C459" s="278"/>
      <c r="D459" s="278"/>
      <c r="E459" s="279"/>
      <c r="F459" s="278"/>
      <c r="G459" s="278"/>
      <c r="H459" s="278"/>
      <c r="I459" s="279"/>
      <c r="J459" s="278"/>
      <c r="K459" s="278"/>
      <c r="L459" s="278"/>
      <c r="M459" s="212"/>
    </row>
    <row r="460" spans="1:13">
      <c r="A460" s="213"/>
      <c r="B460" s="278"/>
      <c r="C460" s="278"/>
      <c r="D460" s="278"/>
      <c r="E460" s="279"/>
      <c r="F460" s="278"/>
      <c r="G460" s="278"/>
      <c r="H460" s="278"/>
      <c r="I460" s="279"/>
      <c r="J460" s="278"/>
      <c r="K460" s="278"/>
      <c r="L460" s="278"/>
      <c r="M460" s="212"/>
    </row>
    <row r="461" spans="1:13">
      <c r="A461" s="213"/>
      <c r="B461" s="279"/>
      <c r="C461" s="279"/>
      <c r="D461" s="279"/>
      <c r="E461" s="279"/>
      <c r="F461" s="279"/>
      <c r="G461" s="279"/>
      <c r="H461" s="279"/>
      <c r="I461" s="279"/>
      <c r="J461" s="279"/>
      <c r="K461" s="279"/>
      <c r="L461" s="279"/>
      <c r="M461" s="212"/>
    </row>
    <row r="462" spans="1:13">
      <c r="A462" s="213"/>
      <c r="B462" s="213"/>
      <c r="C462" s="213"/>
      <c r="D462" s="213"/>
      <c r="E462" s="213"/>
      <c r="F462" s="213"/>
      <c r="G462" s="213"/>
      <c r="H462" s="213"/>
      <c r="I462" s="213"/>
      <c r="J462" s="213"/>
      <c r="K462" s="213"/>
      <c r="L462" s="216"/>
      <c r="M462" s="212"/>
    </row>
    <row r="463" spans="1:13">
      <c r="A463" s="213"/>
      <c r="B463" s="213"/>
      <c r="C463" s="213"/>
      <c r="D463" s="213"/>
      <c r="E463" s="213"/>
      <c r="F463" s="213"/>
      <c r="G463" s="213"/>
      <c r="H463" s="213"/>
      <c r="I463" s="213"/>
      <c r="J463" s="213"/>
      <c r="K463" s="213"/>
      <c r="L463" s="260"/>
      <c r="M463" s="212"/>
    </row>
    <row r="464" spans="1:13">
      <c r="A464" s="234"/>
      <c r="B464" s="217"/>
      <c r="C464" s="217"/>
      <c r="D464" s="217"/>
      <c r="E464" s="217"/>
      <c r="F464" s="217"/>
      <c r="G464" s="217"/>
      <c r="H464" s="217"/>
      <c r="I464" s="217"/>
      <c r="J464" s="217"/>
      <c r="K464" s="217"/>
      <c r="L464" s="212"/>
      <c r="M464" s="212"/>
    </row>
    <row r="465" spans="1:13">
      <c r="A465" s="217"/>
      <c r="B465" s="347"/>
      <c r="C465" s="347"/>
      <c r="D465" s="347"/>
      <c r="E465" s="229"/>
      <c r="F465" s="347"/>
      <c r="G465" s="347"/>
      <c r="H465" s="347"/>
      <c r="I465" s="229"/>
      <c r="J465" s="347"/>
      <c r="K465" s="347"/>
      <c r="L465" s="347"/>
      <c r="M465" s="212"/>
    </row>
    <row r="466" spans="1:13">
      <c r="A466" s="234"/>
      <c r="B466" s="235"/>
      <c r="C466" s="235"/>
      <c r="D466" s="235"/>
      <c r="E466" s="235"/>
      <c r="F466" s="235"/>
      <c r="G466" s="235"/>
      <c r="H466" s="235"/>
      <c r="I466" s="235"/>
      <c r="J466" s="235"/>
      <c r="K466" s="235"/>
      <c r="L466" s="235"/>
      <c r="M466" s="212"/>
    </row>
    <row r="467" spans="1:13">
      <c r="A467" s="234"/>
      <c r="B467" s="235"/>
      <c r="C467" s="235"/>
      <c r="D467" s="235"/>
      <c r="E467" s="235"/>
      <c r="F467" s="235"/>
      <c r="G467" s="235"/>
      <c r="H467" s="235"/>
      <c r="I467" s="235"/>
      <c r="J467" s="235"/>
      <c r="K467" s="235"/>
      <c r="L467" s="235"/>
      <c r="M467" s="212"/>
    </row>
    <row r="468" spans="1:13">
      <c r="A468" s="213"/>
      <c r="B468" s="278"/>
      <c r="C468" s="278"/>
      <c r="D468" s="278"/>
      <c r="E468" s="279"/>
      <c r="F468" s="278"/>
      <c r="G468" s="278"/>
      <c r="H468" s="278"/>
      <c r="I468" s="279"/>
      <c r="J468" s="278"/>
      <c r="K468" s="278"/>
      <c r="L468" s="278"/>
      <c r="M468" s="212"/>
    </row>
    <row r="469" spans="1:13">
      <c r="A469" s="213"/>
      <c r="B469" s="278"/>
      <c r="C469" s="278"/>
      <c r="D469" s="278"/>
      <c r="E469" s="279"/>
      <c r="F469" s="278"/>
      <c r="G469" s="278"/>
      <c r="H469" s="278"/>
      <c r="I469" s="279"/>
      <c r="J469" s="278"/>
      <c r="K469" s="278"/>
      <c r="L469" s="278"/>
      <c r="M469" s="212"/>
    </row>
    <row r="470" spans="1:13">
      <c r="A470" s="213"/>
      <c r="B470" s="278"/>
      <c r="C470" s="278"/>
      <c r="D470" s="278"/>
      <c r="E470" s="279"/>
      <c r="F470" s="278"/>
      <c r="G470" s="278"/>
      <c r="H470" s="278"/>
      <c r="I470" s="279"/>
      <c r="J470" s="278"/>
      <c r="K470" s="278"/>
      <c r="L470" s="278"/>
      <c r="M470" s="212"/>
    </row>
    <row r="471" spans="1:13">
      <c r="A471" s="213"/>
      <c r="B471" s="278"/>
      <c r="C471" s="278"/>
      <c r="D471" s="278"/>
      <c r="E471" s="279"/>
      <c r="F471" s="278"/>
      <c r="G471" s="278"/>
      <c r="H471" s="278"/>
      <c r="I471" s="279"/>
      <c r="J471" s="278"/>
      <c r="K471" s="278"/>
      <c r="L471" s="278"/>
      <c r="M471" s="212"/>
    </row>
    <row r="472" spans="1:13">
      <c r="A472" s="213"/>
      <c r="B472" s="278"/>
      <c r="C472" s="278"/>
      <c r="D472" s="278"/>
      <c r="E472" s="279"/>
      <c r="F472" s="278"/>
      <c r="G472" s="278"/>
      <c r="H472" s="278"/>
      <c r="I472" s="279"/>
      <c r="J472" s="278"/>
      <c r="K472" s="278"/>
      <c r="L472" s="278"/>
      <c r="M472" s="212"/>
    </row>
    <row r="473" spans="1:13">
      <c r="A473" s="213"/>
      <c r="B473" s="278"/>
      <c r="C473" s="278"/>
      <c r="D473" s="278"/>
      <c r="E473" s="279"/>
      <c r="F473" s="278"/>
      <c r="G473" s="278"/>
      <c r="H473" s="278"/>
      <c r="I473" s="279"/>
      <c r="J473" s="278"/>
      <c r="K473" s="278"/>
      <c r="L473" s="278"/>
      <c r="M473" s="212"/>
    </row>
    <row r="474" spans="1:13">
      <c r="A474" s="213"/>
      <c r="B474" s="278"/>
      <c r="C474" s="278"/>
      <c r="D474" s="278"/>
      <c r="E474" s="279"/>
      <c r="F474" s="278"/>
      <c r="G474" s="278"/>
      <c r="H474" s="278"/>
      <c r="I474" s="279"/>
      <c r="J474" s="278"/>
      <c r="K474" s="278"/>
      <c r="L474" s="278"/>
      <c r="M474" s="212"/>
    </row>
    <row r="475" spans="1:13">
      <c r="A475" s="213"/>
      <c r="B475" s="278"/>
      <c r="C475" s="278"/>
      <c r="D475" s="278"/>
      <c r="E475" s="279"/>
      <c r="F475" s="278"/>
      <c r="G475" s="278"/>
      <c r="H475" s="278"/>
      <c r="I475" s="279"/>
      <c r="J475" s="278"/>
      <c r="K475" s="278"/>
      <c r="L475" s="278"/>
      <c r="M475" s="212"/>
    </row>
    <row r="476" spans="1:13">
      <c r="A476" s="213"/>
      <c r="B476" s="278"/>
      <c r="C476" s="278"/>
      <c r="D476" s="278"/>
      <c r="E476" s="279"/>
      <c r="F476" s="278"/>
      <c r="G476" s="278"/>
      <c r="H476" s="278"/>
      <c r="I476" s="279"/>
      <c r="J476" s="278"/>
      <c r="K476" s="278"/>
      <c r="L476" s="278"/>
      <c r="M476" s="212"/>
    </row>
    <row r="477" spans="1:13">
      <c r="A477" s="213"/>
      <c r="B477" s="278"/>
      <c r="C477" s="278"/>
      <c r="D477" s="278"/>
      <c r="E477" s="279"/>
      <c r="F477" s="278"/>
      <c r="G477" s="278"/>
      <c r="H477" s="278"/>
      <c r="I477" s="279"/>
      <c r="J477" s="278"/>
      <c r="K477" s="278"/>
      <c r="L477" s="278"/>
      <c r="M477" s="212"/>
    </row>
    <row r="478" spans="1:13">
      <c r="A478" s="213"/>
      <c r="B478" s="279"/>
      <c r="C478" s="279"/>
      <c r="D478" s="279"/>
      <c r="E478" s="279"/>
      <c r="F478" s="279"/>
      <c r="G478" s="279"/>
      <c r="H478" s="279"/>
      <c r="I478" s="279"/>
      <c r="J478" s="279"/>
      <c r="K478" s="279"/>
      <c r="L478" s="279"/>
      <c r="M478" s="212"/>
    </row>
    <row r="479" spans="1:13">
      <c r="A479" s="213"/>
      <c r="B479" s="213"/>
      <c r="C479" s="213"/>
      <c r="D479" s="213"/>
      <c r="E479" s="213"/>
      <c r="F479" s="213"/>
      <c r="G479" s="213"/>
      <c r="H479" s="213"/>
      <c r="I479" s="213"/>
      <c r="J479" s="213"/>
      <c r="K479" s="213"/>
      <c r="L479" s="216"/>
      <c r="M479" s="212"/>
    </row>
    <row r="480" spans="1:13">
      <c r="A480" s="213"/>
      <c r="B480" s="213"/>
      <c r="C480" s="213"/>
      <c r="D480" s="213"/>
      <c r="E480" s="213"/>
      <c r="F480" s="213"/>
      <c r="G480" s="213"/>
      <c r="H480" s="213"/>
      <c r="I480" s="213"/>
      <c r="J480" s="213"/>
      <c r="K480" s="213"/>
      <c r="L480" s="260"/>
      <c r="M480" s="212"/>
    </row>
    <row r="481" spans="1:13">
      <c r="A481" s="234"/>
      <c r="B481" s="217"/>
      <c r="C481" s="217"/>
      <c r="D481" s="217"/>
      <c r="E481" s="217"/>
      <c r="F481" s="217"/>
      <c r="G481" s="217"/>
      <c r="H481" s="217"/>
      <c r="I481" s="217"/>
      <c r="J481" s="217"/>
      <c r="K481" s="217"/>
      <c r="L481" s="212"/>
      <c r="M481" s="212"/>
    </row>
    <row r="482" spans="1:13">
      <c r="A482" s="217"/>
      <c r="B482" s="347"/>
      <c r="C482" s="347"/>
      <c r="D482" s="347"/>
      <c r="E482" s="229"/>
      <c r="F482" s="347"/>
      <c r="G482" s="347"/>
      <c r="H482" s="347"/>
      <c r="I482" s="229"/>
      <c r="J482" s="347"/>
      <c r="K482" s="347"/>
      <c r="L482" s="347"/>
      <c r="M482" s="212"/>
    </row>
    <row r="483" spans="1:13">
      <c r="A483" s="234"/>
      <c r="B483" s="235"/>
      <c r="C483" s="235"/>
      <c r="D483" s="235"/>
      <c r="E483" s="235"/>
      <c r="F483" s="235"/>
      <c r="G483" s="235"/>
      <c r="H483" s="235"/>
      <c r="I483" s="235"/>
      <c r="J483" s="235"/>
      <c r="K483" s="235"/>
      <c r="L483" s="235"/>
      <c r="M483" s="212"/>
    </row>
    <row r="484" spans="1:13">
      <c r="A484" s="234"/>
      <c r="B484" s="235"/>
      <c r="C484" s="235"/>
      <c r="D484" s="235"/>
      <c r="E484" s="235"/>
      <c r="F484" s="235"/>
      <c r="G484" s="235"/>
      <c r="H484" s="235"/>
      <c r="I484" s="235"/>
      <c r="J484" s="235"/>
      <c r="K484" s="235"/>
      <c r="L484" s="235"/>
      <c r="M484" s="212"/>
    </row>
    <row r="485" spans="1:13">
      <c r="A485" s="213"/>
      <c r="B485" s="278"/>
      <c r="C485" s="278"/>
      <c r="D485" s="278"/>
      <c r="E485" s="279"/>
      <c r="F485" s="278"/>
      <c r="G485" s="278"/>
      <c r="H485" s="278"/>
      <c r="I485" s="279"/>
      <c r="J485" s="278"/>
      <c r="K485" s="278"/>
      <c r="L485" s="278"/>
      <c r="M485" s="212"/>
    </row>
    <row r="486" spans="1:13">
      <c r="A486" s="213"/>
      <c r="B486" s="278"/>
      <c r="C486" s="278"/>
      <c r="D486" s="278"/>
      <c r="E486" s="279"/>
      <c r="F486" s="278"/>
      <c r="G486" s="278"/>
      <c r="H486" s="278"/>
      <c r="I486" s="279"/>
      <c r="J486" s="278"/>
      <c r="K486" s="278"/>
      <c r="L486" s="278"/>
      <c r="M486" s="212"/>
    </row>
    <row r="487" spans="1:13">
      <c r="A487" s="213"/>
      <c r="B487" s="278"/>
      <c r="C487" s="278"/>
      <c r="D487" s="278"/>
      <c r="E487" s="279"/>
      <c r="F487" s="278"/>
      <c r="G487" s="278"/>
      <c r="H487" s="278"/>
      <c r="I487" s="279"/>
      <c r="J487" s="278"/>
      <c r="K487" s="278"/>
      <c r="L487" s="278"/>
      <c r="M487" s="212"/>
    </row>
    <row r="488" spans="1:13">
      <c r="A488" s="213"/>
      <c r="B488" s="278"/>
      <c r="C488" s="278"/>
      <c r="D488" s="278"/>
      <c r="E488" s="279"/>
      <c r="F488" s="278"/>
      <c r="G488" s="278"/>
      <c r="H488" s="278"/>
      <c r="I488" s="279"/>
      <c r="J488" s="278"/>
      <c r="K488" s="278"/>
      <c r="L488" s="278"/>
      <c r="M488" s="212"/>
    </row>
    <row r="489" spans="1:13">
      <c r="A489" s="213"/>
      <c r="B489" s="278"/>
      <c r="C489" s="278"/>
      <c r="D489" s="278"/>
      <c r="E489" s="279"/>
      <c r="F489" s="278"/>
      <c r="G489" s="278"/>
      <c r="H489" s="278"/>
      <c r="I489" s="279"/>
      <c r="J489" s="278"/>
      <c r="K489" s="278"/>
      <c r="L489" s="278"/>
      <c r="M489" s="212"/>
    </row>
    <row r="490" spans="1:13">
      <c r="A490" s="213"/>
      <c r="B490" s="278"/>
      <c r="C490" s="278"/>
      <c r="D490" s="278"/>
      <c r="E490" s="279"/>
      <c r="F490" s="278"/>
      <c r="G490" s="278"/>
      <c r="H490" s="278"/>
      <c r="I490" s="279"/>
      <c r="J490" s="278"/>
      <c r="K490" s="278"/>
      <c r="L490" s="278"/>
      <c r="M490" s="212"/>
    </row>
    <row r="491" spans="1:13">
      <c r="A491" s="213"/>
      <c r="B491" s="278"/>
      <c r="C491" s="278"/>
      <c r="D491" s="278"/>
      <c r="E491" s="279"/>
      <c r="F491" s="278"/>
      <c r="G491" s="278"/>
      <c r="H491" s="278"/>
      <c r="I491" s="279"/>
      <c r="J491" s="278"/>
      <c r="K491" s="278"/>
      <c r="L491" s="278"/>
      <c r="M491" s="212"/>
    </row>
    <row r="492" spans="1:13">
      <c r="A492" s="213"/>
      <c r="B492" s="278"/>
      <c r="C492" s="278"/>
      <c r="D492" s="278"/>
      <c r="E492" s="279"/>
      <c r="F492" s="278"/>
      <c r="G492" s="278"/>
      <c r="H492" s="278"/>
      <c r="I492" s="279"/>
      <c r="J492" s="278"/>
      <c r="K492" s="278"/>
      <c r="L492" s="278"/>
      <c r="M492" s="212"/>
    </row>
    <row r="493" spans="1:13">
      <c r="A493" s="213"/>
      <c r="B493" s="278"/>
      <c r="C493" s="278"/>
      <c r="D493" s="278"/>
      <c r="E493" s="279"/>
      <c r="F493" s="278"/>
      <c r="G493" s="278"/>
      <c r="H493" s="278"/>
      <c r="I493" s="279"/>
      <c r="J493" s="278"/>
      <c r="K493" s="278"/>
      <c r="L493" s="278"/>
      <c r="M493" s="212"/>
    </row>
    <row r="494" spans="1:13">
      <c r="A494" s="213"/>
      <c r="B494" s="278"/>
      <c r="C494" s="278"/>
      <c r="D494" s="278"/>
      <c r="E494" s="279"/>
      <c r="F494" s="278"/>
      <c r="G494" s="278"/>
      <c r="H494" s="278"/>
      <c r="I494" s="279"/>
      <c r="J494" s="278"/>
      <c r="K494" s="278"/>
      <c r="L494" s="278"/>
      <c r="M494" s="212"/>
    </row>
    <row r="495" spans="1:13">
      <c r="A495" s="213"/>
      <c r="B495" s="279"/>
      <c r="C495" s="279"/>
      <c r="D495" s="279"/>
      <c r="E495" s="279"/>
      <c r="F495" s="279"/>
      <c r="G495" s="279"/>
      <c r="H495" s="279"/>
      <c r="I495" s="279"/>
      <c r="J495" s="279"/>
      <c r="K495" s="279"/>
      <c r="L495" s="279"/>
      <c r="M495" s="212"/>
    </row>
    <row r="496" spans="1:13">
      <c r="A496" s="213"/>
      <c r="B496" s="213"/>
      <c r="C496" s="213"/>
      <c r="D496" s="213"/>
      <c r="E496" s="213"/>
      <c r="F496" s="213"/>
      <c r="G496" s="213"/>
      <c r="H496" s="213"/>
      <c r="I496" s="213"/>
      <c r="J496" s="213"/>
      <c r="K496" s="213"/>
      <c r="L496" s="216"/>
      <c r="M496" s="212"/>
    </row>
    <row r="497" spans="1:13">
      <c r="A497" s="213"/>
      <c r="B497" s="213"/>
      <c r="C497" s="213"/>
      <c r="D497" s="213"/>
      <c r="E497" s="213"/>
      <c r="F497" s="213"/>
      <c r="G497" s="213"/>
      <c r="H497" s="213"/>
      <c r="I497" s="213"/>
      <c r="J497" s="213"/>
      <c r="K497" s="213"/>
      <c r="L497" s="260"/>
      <c r="M497" s="212"/>
    </row>
    <row r="498" spans="1:13">
      <c r="A498" s="234"/>
      <c r="B498" s="217"/>
      <c r="C498" s="217"/>
      <c r="D498" s="217"/>
      <c r="E498" s="217"/>
      <c r="F498" s="217"/>
      <c r="G498" s="217"/>
      <c r="H498" s="217"/>
      <c r="I498" s="217"/>
      <c r="J498" s="217"/>
      <c r="K498" s="217"/>
      <c r="L498" s="212"/>
      <c r="M498" s="212"/>
    </row>
    <row r="499" spans="1:13">
      <c r="A499" s="217"/>
      <c r="B499" s="347"/>
      <c r="C499" s="347"/>
      <c r="D499" s="347"/>
      <c r="E499" s="229"/>
      <c r="F499" s="347"/>
      <c r="G499" s="347"/>
      <c r="H499" s="347"/>
      <c r="I499" s="229"/>
      <c r="J499" s="347"/>
      <c r="K499" s="347"/>
      <c r="L499" s="347"/>
      <c r="M499" s="212"/>
    </row>
    <row r="500" spans="1:13">
      <c r="A500" s="234"/>
      <c r="B500" s="235"/>
      <c r="C500" s="235"/>
      <c r="D500" s="235"/>
      <c r="E500" s="235"/>
      <c r="F500" s="235"/>
      <c r="G500" s="235"/>
      <c r="H500" s="235"/>
      <c r="I500" s="235"/>
      <c r="J500" s="235"/>
      <c r="K500" s="235"/>
      <c r="L500" s="235"/>
      <c r="M500" s="212"/>
    </row>
    <row r="501" spans="1:13">
      <c r="A501" s="234"/>
      <c r="B501" s="235"/>
      <c r="C501" s="235"/>
      <c r="D501" s="235"/>
      <c r="E501" s="235"/>
      <c r="F501" s="235"/>
      <c r="G501" s="235"/>
      <c r="H501" s="235"/>
      <c r="I501" s="235"/>
      <c r="J501" s="235"/>
      <c r="K501" s="235"/>
      <c r="L501" s="235"/>
      <c r="M501" s="212"/>
    </row>
    <row r="502" spans="1:13">
      <c r="A502" s="213"/>
      <c r="B502" s="278"/>
      <c r="C502" s="278"/>
      <c r="D502" s="278"/>
      <c r="E502" s="279"/>
      <c r="F502" s="278"/>
      <c r="G502" s="278"/>
      <c r="H502" s="278"/>
      <c r="I502" s="279"/>
      <c r="J502" s="278"/>
      <c r="K502" s="278"/>
      <c r="L502" s="278"/>
      <c r="M502" s="212"/>
    </row>
    <row r="503" spans="1:13">
      <c r="A503" s="213"/>
      <c r="B503" s="278"/>
      <c r="C503" s="278"/>
      <c r="D503" s="278"/>
      <c r="E503" s="279"/>
      <c r="F503" s="278"/>
      <c r="G503" s="278"/>
      <c r="H503" s="278"/>
      <c r="I503" s="279"/>
      <c r="J503" s="278"/>
      <c r="K503" s="278"/>
      <c r="L503" s="278"/>
      <c r="M503" s="212"/>
    </row>
    <row r="504" spans="1:13">
      <c r="A504" s="213"/>
      <c r="B504" s="278"/>
      <c r="C504" s="278"/>
      <c r="D504" s="278"/>
      <c r="E504" s="279"/>
      <c r="F504" s="278"/>
      <c r="G504" s="278"/>
      <c r="H504" s="278"/>
      <c r="I504" s="279"/>
      <c r="J504" s="278"/>
      <c r="K504" s="278"/>
      <c r="L504" s="278"/>
      <c r="M504" s="212"/>
    </row>
    <row r="505" spans="1:13">
      <c r="A505" s="213"/>
      <c r="B505" s="278"/>
      <c r="C505" s="278"/>
      <c r="D505" s="278"/>
      <c r="E505" s="279"/>
      <c r="F505" s="278"/>
      <c r="G505" s="278"/>
      <c r="H505" s="278"/>
      <c r="I505" s="279"/>
      <c r="J505" s="278"/>
      <c r="K505" s="278"/>
      <c r="L505" s="278"/>
      <c r="M505" s="212"/>
    </row>
    <row r="506" spans="1:13">
      <c r="A506" s="213"/>
      <c r="B506" s="278"/>
      <c r="C506" s="278"/>
      <c r="D506" s="278"/>
      <c r="E506" s="279"/>
      <c r="F506" s="278"/>
      <c r="G506" s="278"/>
      <c r="H506" s="278"/>
      <c r="I506" s="279"/>
      <c r="J506" s="278"/>
      <c r="K506" s="278"/>
      <c r="L506" s="278"/>
      <c r="M506" s="212"/>
    </row>
    <row r="507" spans="1:13">
      <c r="A507" s="213"/>
      <c r="B507" s="278"/>
      <c r="C507" s="278"/>
      <c r="D507" s="278"/>
      <c r="E507" s="279"/>
      <c r="F507" s="278"/>
      <c r="G507" s="278"/>
      <c r="H507" s="278"/>
      <c r="I507" s="279"/>
      <c r="J507" s="278"/>
      <c r="K507" s="278"/>
      <c r="L507" s="278"/>
      <c r="M507" s="212"/>
    </row>
    <row r="508" spans="1:13">
      <c r="A508" s="213"/>
      <c r="B508" s="278"/>
      <c r="C508" s="278"/>
      <c r="D508" s="278"/>
      <c r="E508" s="279"/>
      <c r="F508" s="278"/>
      <c r="G508" s="278"/>
      <c r="H508" s="278"/>
      <c r="I508" s="279"/>
      <c r="J508" s="278"/>
      <c r="K508" s="278"/>
      <c r="L508" s="278"/>
      <c r="M508" s="212"/>
    </row>
    <row r="509" spans="1:13">
      <c r="A509" s="213"/>
      <c r="B509" s="278"/>
      <c r="C509" s="278"/>
      <c r="D509" s="278"/>
      <c r="E509" s="279"/>
      <c r="F509" s="278"/>
      <c r="G509" s="278"/>
      <c r="H509" s="278"/>
      <c r="I509" s="279"/>
      <c r="J509" s="278"/>
      <c r="K509" s="278"/>
      <c r="L509" s="278"/>
      <c r="M509" s="212"/>
    </row>
    <row r="510" spans="1:13">
      <c r="A510" s="213"/>
      <c r="B510" s="278"/>
      <c r="C510" s="278"/>
      <c r="D510" s="278"/>
      <c r="E510" s="279"/>
      <c r="F510" s="278"/>
      <c r="G510" s="278"/>
      <c r="H510" s="278"/>
      <c r="I510" s="279"/>
      <c r="J510" s="278"/>
      <c r="K510" s="278"/>
      <c r="L510" s="278"/>
      <c r="M510" s="212"/>
    </row>
    <row r="511" spans="1:13">
      <c r="A511" s="213"/>
      <c r="B511" s="278"/>
      <c r="C511" s="278"/>
      <c r="D511" s="278"/>
      <c r="E511" s="279"/>
      <c r="F511" s="278"/>
      <c r="G511" s="278"/>
      <c r="H511" s="278"/>
      <c r="I511" s="279"/>
      <c r="J511" s="278"/>
      <c r="K511" s="278"/>
      <c r="L511" s="278"/>
      <c r="M511" s="212"/>
    </row>
    <row r="512" spans="1:13">
      <c r="A512" s="213"/>
      <c r="B512" s="279"/>
      <c r="C512" s="279"/>
      <c r="D512" s="279"/>
      <c r="E512" s="279"/>
      <c r="F512" s="279"/>
      <c r="G512" s="279"/>
      <c r="H512" s="279"/>
      <c r="I512" s="279"/>
      <c r="J512" s="279"/>
      <c r="K512" s="279"/>
      <c r="L512" s="279"/>
      <c r="M512" s="212"/>
    </row>
    <row r="513" spans="1:13">
      <c r="A513" s="213"/>
      <c r="B513" s="213"/>
      <c r="C513" s="213"/>
      <c r="D513" s="213"/>
      <c r="E513" s="213"/>
      <c r="F513" s="213"/>
      <c r="G513" s="213"/>
      <c r="H513" s="213"/>
      <c r="I513" s="213"/>
      <c r="J513" s="213"/>
      <c r="K513" s="213"/>
      <c r="L513" s="216"/>
      <c r="M513" s="212"/>
    </row>
    <row r="514" spans="1:13">
      <c r="A514" s="213"/>
      <c r="B514" s="213"/>
      <c r="C514" s="213"/>
      <c r="D514" s="213"/>
      <c r="E514" s="213"/>
      <c r="F514" s="213"/>
      <c r="G514" s="213"/>
      <c r="H514" s="213"/>
      <c r="I514" s="213"/>
      <c r="J514" s="213"/>
      <c r="K514" s="213"/>
      <c r="L514" s="260"/>
      <c r="M514" s="212"/>
    </row>
    <row r="515" spans="1:13">
      <c r="A515" s="234"/>
      <c r="B515" s="217"/>
      <c r="C515" s="217"/>
      <c r="D515" s="217"/>
      <c r="E515" s="217"/>
      <c r="F515" s="217"/>
      <c r="G515" s="217"/>
      <c r="H515" s="217"/>
      <c r="I515" s="217"/>
      <c r="J515" s="217"/>
      <c r="K515" s="217"/>
      <c r="L515" s="212"/>
      <c r="M515" s="212"/>
    </row>
    <row r="516" spans="1:13">
      <c r="A516" s="217"/>
      <c r="B516" s="347"/>
      <c r="C516" s="347"/>
      <c r="D516" s="347"/>
      <c r="E516" s="229"/>
      <c r="F516" s="347"/>
      <c r="G516" s="347"/>
      <c r="H516" s="347"/>
      <c r="I516" s="229"/>
      <c r="J516" s="347"/>
      <c r="K516" s="347"/>
      <c r="L516" s="347"/>
      <c r="M516" s="212"/>
    </row>
    <row r="517" spans="1:13">
      <c r="A517" s="234"/>
      <c r="B517" s="235"/>
      <c r="C517" s="235"/>
      <c r="D517" s="235"/>
      <c r="E517" s="235"/>
      <c r="F517" s="235"/>
      <c r="G517" s="235"/>
      <c r="H517" s="235"/>
      <c r="I517" s="235"/>
      <c r="J517" s="235"/>
      <c r="K517" s="235"/>
      <c r="L517" s="235"/>
      <c r="M517" s="212"/>
    </row>
    <row r="518" spans="1:13">
      <c r="A518" s="234"/>
      <c r="B518" s="235"/>
      <c r="C518" s="235"/>
      <c r="D518" s="235"/>
      <c r="E518" s="235"/>
      <c r="F518" s="235"/>
      <c r="G518" s="235"/>
      <c r="H518" s="235"/>
      <c r="I518" s="235"/>
      <c r="J518" s="235"/>
      <c r="K518" s="235"/>
      <c r="L518" s="235"/>
      <c r="M518" s="212"/>
    </row>
    <row r="519" spans="1:13">
      <c r="A519" s="213"/>
      <c r="B519" s="278"/>
      <c r="C519" s="278"/>
      <c r="D519" s="278"/>
      <c r="E519" s="279"/>
      <c r="F519" s="278"/>
      <c r="G519" s="278"/>
      <c r="H519" s="278"/>
      <c r="I519" s="279"/>
      <c r="J519" s="278"/>
      <c r="K519" s="278"/>
      <c r="L519" s="278"/>
      <c r="M519" s="212"/>
    </row>
    <row r="520" spans="1:13">
      <c r="A520" s="213"/>
      <c r="B520" s="278"/>
      <c r="C520" s="278"/>
      <c r="D520" s="278"/>
      <c r="E520" s="279"/>
      <c r="F520" s="278"/>
      <c r="G520" s="278"/>
      <c r="H520" s="278"/>
      <c r="I520" s="279"/>
      <c r="J520" s="278"/>
      <c r="K520" s="278"/>
      <c r="L520" s="278"/>
      <c r="M520" s="212"/>
    </row>
    <row r="521" spans="1:13">
      <c r="A521" s="213"/>
      <c r="B521" s="278"/>
      <c r="C521" s="278"/>
      <c r="D521" s="278"/>
      <c r="E521" s="279"/>
      <c r="F521" s="278"/>
      <c r="G521" s="278"/>
      <c r="H521" s="278"/>
      <c r="I521" s="279"/>
      <c r="J521" s="278"/>
      <c r="K521" s="278"/>
      <c r="L521" s="278"/>
      <c r="M521" s="212"/>
    </row>
    <row r="522" spans="1:13">
      <c r="A522" s="213"/>
      <c r="B522" s="278"/>
      <c r="C522" s="278"/>
      <c r="D522" s="278"/>
      <c r="E522" s="279"/>
      <c r="F522" s="278"/>
      <c r="G522" s="278"/>
      <c r="H522" s="278"/>
      <c r="I522" s="279"/>
      <c r="J522" s="278"/>
      <c r="K522" s="278"/>
      <c r="L522" s="278"/>
      <c r="M522" s="212"/>
    </row>
    <row r="523" spans="1:13">
      <c r="A523" s="213"/>
      <c r="B523" s="278"/>
      <c r="C523" s="278"/>
      <c r="D523" s="278"/>
      <c r="E523" s="279"/>
      <c r="F523" s="278"/>
      <c r="G523" s="278"/>
      <c r="H523" s="278"/>
      <c r="I523" s="279"/>
      <c r="J523" s="278"/>
      <c r="K523" s="278"/>
      <c r="L523" s="278"/>
      <c r="M523" s="212"/>
    </row>
    <row r="524" spans="1:13">
      <c r="A524" s="213"/>
      <c r="B524" s="278"/>
      <c r="C524" s="278"/>
      <c r="D524" s="278"/>
      <c r="E524" s="279"/>
      <c r="F524" s="278"/>
      <c r="G524" s="278"/>
      <c r="H524" s="278"/>
      <c r="I524" s="279"/>
      <c r="J524" s="278"/>
      <c r="K524" s="278"/>
      <c r="L524" s="278"/>
      <c r="M524" s="212"/>
    </row>
    <row r="525" spans="1:13">
      <c r="A525" s="213"/>
      <c r="B525" s="278"/>
      <c r="C525" s="278"/>
      <c r="D525" s="278"/>
      <c r="E525" s="279"/>
      <c r="F525" s="278"/>
      <c r="G525" s="278"/>
      <c r="H525" s="278"/>
      <c r="I525" s="279"/>
      <c r="J525" s="278"/>
      <c r="K525" s="278"/>
      <c r="L525" s="278"/>
      <c r="M525" s="212"/>
    </row>
    <row r="526" spans="1:13">
      <c r="A526" s="213"/>
      <c r="B526" s="278"/>
      <c r="C526" s="278"/>
      <c r="D526" s="278"/>
      <c r="E526" s="279"/>
      <c r="F526" s="278"/>
      <c r="G526" s="278"/>
      <c r="H526" s="278"/>
      <c r="I526" s="279"/>
      <c r="J526" s="278"/>
      <c r="K526" s="278"/>
      <c r="L526" s="278"/>
      <c r="M526" s="212"/>
    </row>
    <row r="527" spans="1:13">
      <c r="A527" s="213"/>
      <c r="B527" s="278"/>
      <c r="C527" s="278"/>
      <c r="D527" s="278"/>
      <c r="E527" s="279"/>
      <c r="F527" s="278"/>
      <c r="G527" s="278"/>
      <c r="H527" s="278"/>
      <c r="I527" s="279"/>
      <c r="J527" s="278"/>
      <c r="K527" s="278"/>
      <c r="L527" s="278"/>
      <c r="M527" s="212"/>
    </row>
    <row r="528" spans="1:13">
      <c r="A528" s="213"/>
      <c r="B528" s="278"/>
      <c r="C528" s="278"/>
      <c r="D528" s="278"/>
      <c r="E528" s="279"/>
      <c r="F528" s="278"/>
      <c r="G528" s="278"/>
      <c r="H528" s="278"/>
      <c r="I528" s="279"/>
      <c r="J528" s="278"/>
      <c r="K528" s="278"/>
      <c r="L528" s="278"/>
      <c r="M528" s="212"/>
    </row>
    <row r="529" spans="1:13">
      <c r="A529" s="213"/>
      <c r="B529" s="279"/>
      <c r="C529" s="279"/>
      <c r="D529" s="279"/>
      <c r="E529" s="279"/>
      <c r="F529" s="279"/>
      <c r="G529" s="279"/>
      <c r="H529" s="279"/>
      <c r="I529" s="279"/>
      <c r="J529" s="279"/>
      <c r="K529" s="279"/>
      <c r="L529" s="279"/>
      <c r="M529" s="212"/>
    </row>
    <row r="530" spans="1:13">
      <c r="A530" s="213"/>
      <c r="B530" s="213"/>
      <c r="C530" s="213"/>
      <c r="D530" s="213"/>
      <c r="E530" s="213"/>
      <c r="F530" s="213"/>
      <c r="G530" s="213"/>
      <c r="H530" s="213"/>
      <c r="I530" s="213"/>
      <c r="J530" s="213"/>
      <c r="K530" s="213"/>
      <c r="L530" s="216"/>
      <c r="M530" s="212"/>
    </row>
    <row r="531" spans="1:13">
      <c r="A531" s="213"/>
      <c r="B531" s="213"/>
      <c r="C531" s="213"/>
      <c r="D531" s="213"/>
      <c r="E531" s="213"/>
      <c r="F531" s="213"/>
      <c r="G531" s="213"/>
      <c r="H531" s="213"/>
      <c r="I531" s="213"/>
      <c r="J531" s="213"/>
      <c r="K531" s="213"/>
      <c r="L531" s="260"/>
      <c r="M531" s="212"/>
    </row>
    <row r="532" spans="1:13">
      <c r="A532" s="234"/>
      <c r="B532" s="217"/>
      <c r="C532" s="217"/>
      <c r="D532" s="217"/>
      <c r="E532" s="217"/>
      <c r="F532" s="217"/>
      <c r="G532" s="217"/>
      <c r="H532" s="217"/>
      <c r="I532" s="217"/>
      <c r="J532" s="217"/>
      <c r="K532" s="217"/>
      <c r="L532" s="212"/>
      <c r="M532" s="212"/>
    </row>
    <row r="533" spans="1:13">
      <c r="A533" s="217"/>
      <c r="B533" s="347"/>
      <c r="C533" s="347"/>
      <c r="D533" s="347"/>
      <c r="E533" s="229"/>
      <c r="F533" s="347"/>
      <c r="G533" s="347"/>
      <c r="H533" s="347"/>
      <c r="I533" s="229"/>
      <c r="J533" s="347"/>
      <c r="K533" s="347"/>
      <c r="L533" s="347"/>
      <c r="M533" s="212"/>
    </row>
    <row r="534" spans="1:13">
      <c r="A534" s="234"/>
      <c r="B534" s="235"/>
      <c r="C534" s="235"/>
      <c r="D534" s="235"/>
      <c r="E534" s="235"/>
      <c r="F534" s="235"/>
      <c r="G534" s="235"/>
      <c r="H534" s="235"/>
      <c r="I534" s="235"/>
      <c r="J534" s="235"/>
      <c r="K534" s="235"/>
      <c r="L534" s="235"/>
      <c r="M534" s="212"/>
    </row>
    <row r="535" spans="1:13">
      <c r="A535" s="234"/>
      <c r="B535" s="235"/>
      <c r="C535" s="235"/>
      <c r="D535" s="235"/>
      <c r="E535" s="235"/>
      <c r="F535" s="235"/>
      <c r="G535" s="235"/>
      <c r="H535" s="235"/>
      <c r="I535" s="235"/>
      <c r="J535" s="235"/>
      <c r="K535" s="235"/>
      <c r="L535" s="235"/>
      <c r="M535" s="212"/>
    </row>
    <row r="536" spans="1:13">
      <c r="A536" s="213"/>
      <c r="B536" s="278"/>
      <c r="C536" s="278"/>
      <c r="D536" s="278"/>
      <c r="E536" s="279"/>
      <c r="F536" s="278"/>
      <c r="G536" s="278"/>
      <c r="H536" s="278"/>
      <c r="I536" s="279"/>
      <c r="J536" s="278"/>
      <c r="K536" s="278"/>
      <c r="L536" s="278"/>
      <c r="M536" s="212"/>
    </row>
    <row r="537" spans="1:13">
      <c r="A537" s="213"/>
      <c r="B537" s="278"/>
      <c r="C537" s="278"/>
      <c r="D537" s="278"/>
      <c r="E537" s="279"/>
      <c r="F537" s="278"/>
      <c r="G537" s="278"/>
      <c r="H537" s="278"/>
      <c r="I537" s="279"/>
      <c r="J537" s="278"/>
      <c r="K537" s="278"/>
      <c r="L537" s="278"/>
      <c r="M537" s="212"/>
    </row>
    <row r="538" spans="1:13">
      <c r="A538" s="213"/>
      <c r="B538" s="278"/>
      <c r="C538" s="278"/>
      <c r="D538" s="278"/>
      <c r="E538" s="279"/>
      <c r="F538" s="278"/>
      <c r="G538" s="278"/>
      <c r="H538" s="278"/>
      <c r="I538" s="279"/>
      <c r="J538" s="278"/>
      <c r="K538" s="278"/>
      <c r="L538" s="278"/>
      <c r="M538" s="212"/>
    </row>
    <row r="539" spans="1:13">
      <c r="A539" s="213"/>
      <c r="B539" s="278"/>
      <c r="C539" s="278"/>
      <c r="D539" s="278"/>
      <c r="E539" s="279"/>
      <c r="F539" s="278"/>
      <c r="G539" s="278"/>
      <c r="H539" s="278"/>
      <c r="I539" s="279"/>
      <c r="J539" s="278"/>
      <c r="K539" s="278"/>
      <c r="L539" s="278"/>
      <c r="M539" s="212"/>
    </row>
    <row r="540" spans="1:13">
      <c r="A540" s="213"/>
      <c r="B540" s="278"/>
      <c r="C540" s="278"/>
      <c r="D540" s="278"/>
      <c r="E540" s="279"/>
      <c r="F540" s="278"/>
      <c r="G540" s="278"/>
      <c r="H540" s="278"/>
      <c r="I540" s="279"/>
      <c r="J540" s="278"/>
      <c r="K540" s="278"/>
      <c r="L540" s="278"/>
      <c r="M540" s="212"/>
    </row>
    <row r="541" spans="1:13">
      <c r="A541" s="213"/>
      <c r="B541" s="278"/>
      <c r="C541" s="278"/>
      <c r="D541" s="278"/>
      <c r="E541" s="279"/>
      <c r="F541" s="278"/>
      <c r="G541" s="278"/>
      <c r="H541" s="278"/>
      <c r="I541" s="279"/>
      <c r="J541" s="278"/>
      <c r="K541" s="278"/>
      <c r="L541" s="278"/>
      <c r="M541" s="212"/>
    </row>
    <row r="542" spans="1:13">
      <c r="A542" s="213"/>
      <c r="B542" s="278"/>
      <c r="C542" s="278"/>
      <c r="D542" s="278"/>
      <c r="E542" s="279"/>
      <c r="F542" s="278"/>
      <c r="G542" s="278"/>
      <c r="H542" s="278"/>
      <c r="I542" s="279"/>
      <c r="J542" s="278"/>
      <c r="K542" s="278"/>
      <c r="L542" s="278"/>
      <c r="M542" s="212"/>
    </row>
    <row r="543" spans="1:13">
      <c r="A543" s="213"/>
      <c r="B543" s="278"/>
      <c r="C543" s="278"/>
      <c r="D543" s="278"/>
      <c r="E543" s="279"/>
      <c r="F543" s="278"/>
      <c r="G543" s="278"/>
      <c r="H543" s="278"/>
      <c r="I543" s="279"/>
      <c r="J543" s="278"/>
      <c r="K543" s="278"/>
      <c r="L543" s="278"/>
      <c r="M543" s="212"/>
    </row>
    <row r="544" spans="1:13">
      <c r="A544" s="213"/>
      <c r="B544" s="278"/>
      <c r="C544" s="278"/>
      <c r="D544" s="278"/>
      <c r="E544" s="279"/>
      <c r="F544" s="278"/>
      <c r="G544" s="278"/>
      <c r="H544" s="278"/>
      <c r="I544" s="279"/>
      <c r="J544" s="278"/>
      <c r="K544" s="278"/>
      <c r="L544" s="278"/>
      <c r="M544" s="212"/>
    </row>
    <row r="545" spans="1:13">
      <c r="A545" s="213"/>
      <c r="B545" s="278"/>
      <c r="C545" s="278"/>
      <c r="D545" s="278"/>
      <c r="E545" s="279"/>
      <c r="F545" s="278"/>
      <c r="G545" s="278"/>
      <c r="H545" s="278"/>
      <c r="I545" s="279"/>
      <c r="J545" s="278"/>
      <c r="K545" s="278"/>
      <c r="L545" s="278"/>
      <c r="M545" s="212"/>
    </row>
    <row r="546" spans="1:13">
      <c r="A546" s="213"/>
      <c r="B546" s="279"/>
      <c r="C546" s="279"/>
      <c r="D546" s="279"/>
      <c r="E546" s="279"/>
      <c r="F546" s="279"/>
      <c r="G546" s="279"/>
      <c r="H546" s="279"/>
      <c r="I546" s="279"/>
      <c r="J546" s="279"/>
      <c r="K546" s="279"/>
      <c r="L546" s="279"/>
      <c r="M546" s="212"/>
    </row>
    <row r="547" spans="1:13">
      <c r="A547" s="213"/>
      <c r="B547" s="213"/>
      <c r="C547" s="213"/>
      <c r="D547" s="213"/>
      <c r="E547" s="213"/>
      <c r="F547" s="213"/>
      <c r="G547" s="213"/>
      <c r="H547" s="213"/>
      <c r="I547" s="213"/>
      <c r="J547" s="213"/>
      <c r="K547" s="213"/>
      <c r="L547" s="216"/>
      <c r="M547" s="212"/>
    </row>
    <row r="548" spans="1:13">
      <c r="A548" s="213"/>
      <c r="B548" s="213"/>
      <c r="C548" s="213"/>
      <c r="D548" s="213"/>
      <c r="E548" s="213"/>
      <c r="F548" s="213"/>
      <c r="G548" s="213"/>
      <c r="H548" s="213"/>
      <c r="I548" s="213"/>
      <c r="J548" s="213"/>
      <c r="K548" s="213"/>
      <c r="L548" s="260"/>
      <c r="M548" s="212"/>
    </row>
    <row r="549" spans="1:13">
      <c r="A549" s="234"/>
      <c r="B549" s="217"/>
      <c r="C549" s="217"/>
      <c r="D549" s="217"/>
      <c r="E549" s="217"/>
      <c r="F549" s="217"/>
      <c r="G549" s="217"/>
      <c r="H549" s="217"/>
      <c r="I549" s="217"/>
      <c r="J549" s="217"/>
      <c r="K549" s="217"/>
      <c r="L549" s="212"/>
      <c r="M549" s="212"/>
    </row>
    <row r="550" spans="1:13">
      <c r="A550" s="217"/>
      <c r="B550" s="347"/>
      <c r="C550" s="347"/>
      <c r="D550" s="347"/>
      <c r="E550" s="229"/>
      <c r="F550" s="347"/>
      <c r="G550" s="347"/>
      <c r="H550" s="347"/>
      <c r="I550" s="229"/>
      <c r="J550" s="347"/>
      <c r="K550" s="347"/>
      <c r="L550" s="347"/>
      <c r="M550" s="212"/>
    </row>
    <row r="551" spans="1:13">
      <c r="A551" s="234"/>
      <c r="B551" s="235"/>
      <c r="C551" s="235"/>
      <c r="D551" s="235"/>
      <c r="E551" s="235"/>
      <c r="F551" s="235"/>
      <c r="G551" s="235"/>
      <c r="H551" s="235"/>
      <c r="I551" s="235"/>
      <c r="J551" s="235"/>
      <c r="K551" s="235"/>
      <c r="L551" s="235"/>
      <c r="M551" s="212"/>
    </row>
    <row r="552" spans="1:13">
      <c r="A552" s="234"/>
      <c r="B552" s="235"/>
      <c r="C552" s="235"/>
      <c r="D552" s="235"/>
      <c r="E552" s="235"/>
      <c r="F552" s="235"/>
      <c r="G552" s="235"/>
      <c r="H552" s="235"/>
      <c r="I552" s="235"/>
      <c r="J552" s="235"/>
      <c r="K552" s="235"/>
      <c r="L552" s="235"/>
      <c r="M552" s="212"/>
    </row>
    <row r="553" spans="1:13">
      <c r="A553" s="213"/>
      <c r="B553" s="278"/>
      <c r="C553" s="278"/>
      <c r="D553" s="278"/>
      <c r="E553" s="279"/>
      <c r="F553" s="278"/>
      <c r="G553" s="278"/>
      <c r="H553" s="278"/>
      <c r="I553" s="279"/>
      <c r="J553" s="278"/>
      <c r="K553" s="278"/>
      <c r="L553" s="278"/>
      <c r="M553" s="212"/>
    </row>
    <row r="554" spans="1:13">
      <c r="A554" s="213"/>
      <c r="B554" s="278"/>
      <c r="C554" s="278"/>
      <c r="D554" s="278"/>
      <c r="E554" s="279"/>
      <c r="F554" s="278"/>
      <c r="G554" s="278"/>
      <c r="H554" s="278"/>
      <c r="I554" s="279"/>
      <c r="J554" s="278"/>
      <c r="K554" s="278"/>
      <c r="L554" s="278"/>
      <c r="M554" s="212"/>
    </row>
    <row r="555" spans="1:13">
      <c r="A555" s="213"/>
      <c r="B555" s="278"/>
      <c r="C555" s="278"/>
      <c r="D555" s="278"/>
      <c r="E555" s="279"/>
      <c r="F555" s="278"/>
      <c r="G555" s="278"/>
      <c r="H555" s="278"/>
      <c r="I555" s="279"/>
      <c r="J555" s="278"/>
      <c r="K555" s="278"/>
      <c r="L555" s="278"/>
      <c r="M555" s="212"/>
    </row>
    <row r="556" spans="1:13">
      <c r="A556" s="213"/>
      <c r="B556" s="278"/>
      <c r="C556" s="278"/>
      <c r="D556" s="278"/>
      <c r="E556" s="279"/>
      <c r="F556" s="278"/>
      <c r="G556" s="278"/>
      <c r="H556" s="278"/>
      <c r="I556" s="279"/>
      <c r="J556" s="278"/>
      <c r="K556" s="278"/>
      <c r="L556" s="278"/>
      <c r="M556" s="212"/>
    </row>
    <row r="557" spans="1:13">
      <c r="A557" s="213"/>
      <c r="B557" s="278"/>
      <c r="C557" s="278"/>
      <c r="D557" s="278"/>
      <c r="E557" s="279"/>
      <c r="F557" s="278"/>
      <c r="G557" s="278"/>
      <c r="H557" s="278"/>
      <c r="I557" s="279"/>
      <c r="J557" s="278"/>
      <c r="K557" s="278"/>
      <c r="L557" s="278"/>
      <c r="M557" s="212"/>
    </row>
    <row r="558" spans="1:13">
      <c r="A558" s="213"/>
      <c r="B558" s="278"/>
      <c r="C558" s="278"/>
      <c r="D558" s="278"/>
      <c r="E558" s="279"/>
      <c r="F558" s="278"/>
      <c r="G558" s="278"/>
      <c r="H558" s="278"/>
      <c r="I558" s="279"/>
      <c r="J558" s="278"/>
      <c r="K558" s="278"/>
      <c r="L558" s="278"/>
      <c r="M558" s="212"/>
    </row>
    <row r="559" spans="1:13">
      <c r="A559" s="213"/>
      <c r="B559" s="278"/>
      <c r="C559" s="278"/>
      <c r="D559" s="278"/>
      <c r="E559" s="279"/>
      <c r="F559" s="278"/>
      <c r="G559" s="278"/>
      <c r="H559" s="278"/>
      <c r="I559" s="279"/>
      <c r="J559" s="278"/>
      <c r="K559" s="278"/>
      <c r="L559" s="278"/>
      <c r="M559" s="212"/>
    </row>
    <row r="560" spans="1:13">
      <c r="A560" s="213"/>
      <c r="B560" s="278"/>
      <c r="C560" s="278"/>
      <c r="D560" s="278"/>
      <c r="E560" s="279"/>
      <c r="F560" s="278"/>
      <c r="G560" s="278"/>
      <c r="H560" s="278"/>
      <c r="I560" s="279"/>
      <c r="J560" s="278"/>
      <c r="K560" s="278"/>
      <c r="L560" s="278"/>
      <c r="M560" s="212"/>
    </row>
    <row r="561" spans="1:13">
      <c r="A561" s="213"/>
      <c r="B561" s="278"/>
      <c r="C561" s="278"/>
      <c r="D561" s="278"/>
      <c r="E561" s="279"/>
      <c r="F561" s="278"/>
      <c r="G561" s="278"/>
      <c r="H561" s="278"/>
      <c r="I561" s="279"/>
      <c r="J561" s="278"/>
      <c r="K561" s="278"/>
      <c r="L561" s="278"/>
      <c r="M561" s="212"/>
    </row>
    <row r="562" spans="1:13">
      <c r="A562" s="213"/>
      <c r="B562" s="278"/>
      <c r="C562" s="278"/>
      <c r="D562" s="278"/>
      <c r="E562" s="279"/>
      <c r="F562" s="278"/>
      <c r="G562" s="278"/>
      <c r="H562" s="278"/>
      <c r="I562" s="279"/>
      <c r="J562" s="278"/>
      <c r="K562" s="278"/>
      <c r="L562" s="278"/>
      <c r="M562" s="212"/>
    </row>
    <row r="563" spans="1:13">
      <c r="A563" s="213"/>
      <c r="B563" s="279"/>
      <c r="C563" s="279"/>
      <c r="D563" s="279"/>
      <c r="E563" s="279"/>
      <c r="F563" s="279"/>
      <c r="G563" s="279"/>
      <c r="H563" s="279"/>
      <c r="I563" s="279"/>
      <c r="J563" s="279"/>
      <c r="K563" s="279"/>
      <c r="L563" s="279"/>
      <c r="M563" s="212"/>
    </row>
    <row r="564" spans="1:13">
      <c r="A564" s="213"/>
      <c r="B564" s="213"/>
      <c r="C564" s="213"/>
      <c r="D564" s="213"/>
      <c r="E564" s="213"/>
      <c r="F564" s="213"/>
      <c r="G564" s="213"/>
      <c r="H564" s="213"/>
      <c r="I564" s="213"/>
      <c r="J564" s="213"/>
      <c r="K564" s="213"/>
      <c r="L564" s="216"/>
      <c r="M564" s="212"/>
    </row>
    <row r="565" spans="1:13">
      <c r="A565" s="213"/>
      <c r="B565" s="213"/>
      <c r="C565" s="213"/>
      <c r="D565" s="213"/>
      <c r="E565" s="213"/>
      <c r="F565" s="213"/>
      <c r="G565" s="213"/>
      <c r="H565" s="213"/>
      <c r="I565" s="213"/>
      <c r="J565" s="213"/>
      <c r="K565" s="213"/>
      <c r="L565" s="260"/>
      <c r="M565" s="212"/>
    </row>
    <row r="566" spans="1:13">
      <c r="A566" s="234"/>
      <c r="B566" s="217"/>
      <c r="C566" s="217"/>
      <c r="D566" s="217"/>
      <c r="E566" s="217"/>
      <c r="F566" s="217"/>
      <c r="G566" s="217"/>
      <c r="H566" s="217"/>
      <c r="I566" s="217"/>
      <c r="J566" s="217"/>
      <c r="K566" s="217"/>
      <c r="L566" s="212"/>
      <c r="M566" s="212"/>
    </row>
    <row r="567" spans="1:13">
      <c r="A567" s="217"/>
      <c r="B567" s="347"/>
      <c r="C567" s="347"/>
      <c r="D567" s="347"/>
      <c r="E567" s="229"/>
      <c r="F567" s="347"/>
      <c r="G567" s="347"/>
      <c r="H567" s="347"/>
      <c r="I567" s="229"/>
      <c r="J567" s="347"/>
      <c r="K567" s="347"/>
      <c r="L567" s="347"/>
      <c r="M567" s="212"/>
    </row>
    <row r="568" spans="1:13">
      <c r="A568" s="234"/>
      <c r="B568" s="235"/>
      <c r="C568" s="235"/>
      <c r="D568" s="235"/>
      <c r="E568" s="235"/>
      <c r="F568" s="235"/>
      <c r="G568" s="235"/>
      <c r="H568" s="235"/>
      <c r="I568" s="235"/>
      <c r="J568" s="235"/>
      <c r="K568" s="235"/>
      <c r="L568" s="235"/>
      <c r="M568" s="212"/>
    </row>
    <row r="569" spans="1:13">
      <c r="A569" s="234"/>
      <c r="B569" s="235"/>
      <c r="C569" s="235"/>
      <c r="D569" s="235"/>
      <c r="E569" s="235"/>
      <c r="F569" s="235"/>
      <c r="G569" s="235"/>
      <c r="H569" s="235"/>
      <c r="I569" s="235"/>
      <c r="J569" s="235"/>
      <c r="K569" s="235"/>
      <c r="L569" s="235"/>
      <c r="M569" s="212"/>
    </row>
    <row r="570" spans="1:13">
      <c r="A570" s="213"/>
      <c r="B570" s="278"/>
      <c r="C570" s="278"/>
      <c r="D570" s="278"/>
      <c r="E570" s="279"/>
      <c r="F570" s="278"/>
      <c r="G570" s="278"/>
      <c r="H570" s="278"/>
      <c r="I570" s="279"/>
      <c r="J570" s="278"/>
      <c r="K570" s="278"/>
      <c r="L570" s="278"/>
      <c r="M570" s="212"/>
    </row>
    <row r="571" spans="1:13">
      <c r="A571" s="213"/>
      <c r="B571" s="278"/>
      <c r="C571" s="278"/>
      <c r="D571" s="278"/>
      <c r="E571" s="279"/>
      <c r="F571" s="278"/>
      <c r="G571" s="278"/>
      <c r="H571" s="278"/>
      <c r="I571" s="279"/>
      <c r="J571" s="278"/>
      <c r="K571" s="278"/>
      <c r="L571" s="278"/>
      <c r="M571" s="212"/>
    </row>
    <row r="572" spans="1:13">
      <c r="A572" s="213"/>
      <c r="B572" s="278"/>
      <c r="C572" s="278"/>
      <c r="D572" s="278"/>
      <c r="E572" s="279"/>
      <c r="F572" s="278"/>
      <c r="G572" s="278"/>
      <c r="H572" s="278"/>
      <c r="I572" s="279"/>
      <c r="J572" s="278"/>
      <c r="K572" s="278"/>
      <c r="L572" s="278"/>
      <c r="M572" s="212"/>
    </row>
    <row r="573" spans="1:13">
      <c r="A573" s="213"/>
      <c r="B573" s="278"/>
      <c r="C573" s="278"/>
      <c r="D573" s="278"/>
      <c r="E573" s="279"/>
      <c r="F573" s="278"/>
      <c r="G573" s="278"/>
      <c r="H573" s="278"/>
      <c r="I573" s="279"/>
      <c r="J573" s="278"/>
      <c r="K573" s="278"/>
      <c r="L573" s="278"/>
      <c r="M573" s="212"/>
    </row>
    <row r="574" spans="1:13">
      <c r="A574" s="213"/>
      <c r="B574" s="278"/>
      <c r="C574" s="278"/>
      <c r="D574" s="278"/>
      <c r="E574" s="279"/>
      <c r="F574" s="278"/>
      <c r="G574" s="278"/>
      <c r="H574" s="278"/>
      <c r="I574" s="279"/>
      <c r="J574" s="278"/>
      <c r="K574" s="278"/>
      <c r="L574" s="278"/>
      <c r="M574" s="212"/>
    </row>
    <row r="575" spans="1:13">
      <c r="A575" s="213"/>
      <c r="B575" s="278"/>
      <c r="C575" s="278"/>
      <c r="D575" s="278"/>
      <c r="E575" s="279"/>
      <c r="F575" s="278"/>
      <c r="G575" s="278"/>
      <c r="H575" s="278"/>
      <c r="I575" s="279"/>
      <c r="J575" s="278"/>
      <c r="K575" s="278"/>
      <c r="L575" s="278"/>
      <c r="M575" s="212"/>
    </row>
    <row r="576" spans="1:13">
      <c r="A576" s="213"/>
      <c r="B576" s="278"/>
      <c r="C576" s="278"/>
      <c r="D576" s="278"/>
      <c r="E576" s="279"/>
      <c r="F576" s="278"/>
      <c r="G576" s="278"/>
      <c r="H576" s="278"/>
      <c r="I576" s="279"/>
      <c r="J576" s="278"/>
      <c r="K576" s="278"/>
      <c r="L576" s="278"/>
      <c r="M576" s="212"/>
    </row>
    <row r="577" spans="1:13">
      <c r="A577" s="213"/>
      <c r="B577" s="278"/>
      <c r="C577" s="278"/>
      <c r="D577" s="278"/>
      <c r="E577" s="279"/>
      <c r="F577" s="278"/>
      <c r="G577" s="278"/>
      <c r="H577" s="278"/>
      <c r="I577" s="279"/>
      <c r="J577" s="278"/>
      <c r="K577" s="278"/>
      <c r="L577" s="278"/>
      <c r="M577" s="212"/>
    </row>
    <row r="578" spans="1:13">
      <c r="A578" s="213"/>
      <c r="B578" s="278"/>
      <c r="C578" s="278"/>
      <c r="D578" s="278"/>
      <c r="E578" s="279"/>
      <c r="F578" s="278"/>
      <c r="G578" s="278"/>
      <c r="H578" s="278"/>
      <c r="I578" s="279"/>
      <c r="J578" s="278"/>
      <c r="K578" s="278"/>
      <c r="L578" s="278"/>
      <c r="M578" s="212"/>
    </row>
    <row r="579" spans="1:13">
      <c r="A579" s="213"/>
      <c r="B579" s="278"/>
      <c r="C579" s="278"/>
      <c r="D579" s="278"/>
      <c r="E579" s="279"/>
      <c r="F579" s="278"/>
      <c r="G579" s="278"/>
      <c r="H579" s="278"/>
      <c r="I579" s="279"/>
      <c r="J579" s="278"/>
      <c r="K579" s="278"/>
      <c r="L579" s="278"/>
      <c r="M579" s="212"/>
    </row>
    <row r="580" spans="1:13">
      <c r="A580" s="213"/>
      <c r="B580" s="279"/>
      <c r="C580" s="279"/>
      <c r="D580" s="279"/>
      <c r="E580" s="279"/>
      <c r="F580" s="279"/>
      <c r="G580" s="279"/>
      <c r="H580" s="279"/>
      <c r="I580" s="279"/>
      <c r="J580" s="279"/>
      <c r="K580" s="279"/>
      <c r="L580" s="279"/>
      <c r="M580" s="212"/>
    </row>
    <row r="581" spans="1:13">
      <c r="A581" s="213"/>
      <c r="B581" s="213"/>
      <c r="C581" s="213"/>
      <c r="D581" s="213"/>
      <c r="E581" s="213"/>
      <c r="F581" s="213"/>
      <c r="G581" s="213"/>
      <c r="H581" s="213"/>
      <c r="I581" s="213"/>
      <c r="J581" s="213"/>
      <c r="K581" s="213"/>
      <c r="L581" s="216"/>
      <c r="M581" s="212"/>
    </row>
    <row r="582" spans="1:13">
      <c r="A582" s="213"/>
      <c r="B582" s="213"/>
      <c r="C582" s="213"/>
      <c r="D582" s="213"/>
      <c r="E582" s="213"/>
      <c r="F582" s="213"/>
      <c r="G582" s="213"/>
      <c r="H582" s="213"/>
      <c r="I582" s="213"/>
      <c r="J582" s="213"/>
      <c r="K582" s="213"/>
      <c r="L582" s="260"/>
      <c r="M582" s="212"/>
    </row>
    <row r="583" spans="1:13">
      <c r="A583" s="234"/>
      <c r="B583" s="217"/>
      <c r="C583" s="217"/>
      <c r="D583" s="217"/>
      <c r="E583" s="217"/>
      <c r="F583" s="217"/>
      <c r="G583" s="217"/>
      <c r="H583" s="217"/>
      <c r="I583" s="217"/>
      <c r="J583" s="217"/>
      <c r="K583" s="217"/>
      <c r="L583" s="212"/>
      <c r="M583" s="212"/>
    </row>
    <row r="584" spans="1:13">
      <c r="A584" s="217"/>
      <c r="B584" s="347"/>
      <c r="C584" s="347"/>
      <c r="D584" s="347"/>
      <c r="E584" s="229"/>
      <c r="F584" s="347"/>
      <c r="G584" s="347"/>
      <c r="H584" s="347"/>
      <c r="I584" s="229"/>
      <c r="J584" s="347"/>
      <c r="K584" s="347"/>
      <c r="L584" s="347"/>
      <c r="M584" s="212"/>
    </row>
    <row r="585" spans="1:13">
      <c r="A585" s="234"/>
      <c r="B585" s="235"/>
      <c r="C585" s="235"/>
      <c r="D585" s="235"/>
      <c r="E585" s="235"/>
      <c r="F585" s="235"/>
      <c r="G585" s="235"/>
      <c r="H585" s="235"/>
      <c r="I585" s="235"/>
      <c r="J585" s="235"/>
      <c r="K585" s="235"/>
      <c r="L585" s="235"/>
      <c r="M585" s="212"/>
    </row>
    <row r="586" spans="1:13">
      <c r="A586" s="234"/>
      <c r="B586" s="235"/>
      <c r="C586" s="235"/>
      <c r="D586" s="235"/>
      <c r="E586" s="235"/>
      <c r="F586" s="235"/>
      <c r="G586" s="235"/>
      <c r="H586" s="235"/>
      <c r="I586" s="235"/>
      <c r="J586" s="235"/>
      <c r="K586" s="235"/>
      <c r="L586" s="235"/>
      <c r="M586" s="212"/>
    </row>
    <row r="587" spans="1:13">
      <c r="A587" s="213"/>
      <c r="B587" s="278"/>
      <c r="C587" s="278"/>
      <c r="D587" s="278"/>
      <c r="E587" s="279"/>
      <c r="F587" s="278"/>
      <c r="G587" s="278"/>
      <c r="H587" s="278"/>
      <c r="I587" s="279"/>
      <c r="J587" s="278"/>
      <c r="K587" s="278"/>
      <c r="L587" s="278"/>
      <c r="M587" s="212"/>
    </row>
    <row r="588" spans="1:13">
      <c r="A588" s="213"/>
      <c r="B588" s="278"/>
      <c r="C588" s="278"/>
      <c r="D588" s="278"/>
      <c r="E588" s="279"/>
      <c r="F588" s="278"/>
      <c r="G588" s="278"/>
      <c r="H588" s="278"/>
      <c r="I588" s="279"/>
      <c r="J588" s="278"/>
      <c r="K588" s="278"/>
      <c r="L588" s="278"/>
      <c r="M588" s="212"/>
    </row>
    <row r="589" spans="1:13">
      <c r="A589" s="213"/>
      <c r="B589" s="278"/>
      <c r="C589" s="278"/>
      <c r="D589" s="278"/>
      <c r="E589" s="279"/>
      <c r="F589" s="278"/>
      <c r="G589" s="278"/>
      <c r="H589" s="278"/>
      <c r="I589" s="279"/>
      <c r="J589" s="278"/>
      <c r="K589" s="278"/>
      <c r="L589" s="278"/>
      <c r="M589" s="212"/>
    </row>
    <row r="590" spans="1:13">
      <c r="A590" s="213"/>
      <c r="B590" s="278"/>
      <c r="C590" s="278"/>
      <c r="D590" s="278"/>
      <c r="E590" s="279"/>
      <c r="F590" s="278"/>
      <c r="G590" s="278"/>
      <c r="H590" s="278"/>
      <c r="I590" s="279"/>
      <c r="J590" s="278"/>
      <c r="K590" s="278"/>
      <c r="L590" s="278"/>
      <c r="M590" s="212"/>
    </row>
    <row r="591" spans="1:13">
      <c r="A591" s="213"/>
      <c r="B591" s="278"/>
      <c r="C591" s="278"/>
      <c r="D591" s="278"/>
      <c r="E591" s="279"/>
      <c r="F591" s="278"/>
      <c r="G591" s="278"/>
      <c r="H591" s="278"/>
      <c r="I591" s="279"/>
      <c r="J591" s="278"/>
      <c r="K591" s="278"/>
      <c r="L591" s="278"/>
      <c r="M591" s="212"/>
    </row>
    <row r="592" spans="1:13">
      <c r="A592" s="213"/>
      <c r="B592" s="278"/>
      <c r="C592" s="278"/>
      <c r="D592" s="278"/>
      <c r="E592" s="279"/>
      <c r="F592" s="278"/>
      <c r="G592" s="278"/>
      <c r="H592" s="278"/>
      <c r="I592" s="279"/>
      <c r="J592" s="278"/>
      <c r="K592" s="278"/>
      <c r="L592" s="278"/>
      <c r="M592" s="212"/>
    </row>
    <row r="593" spans="1:13">
      <c r="A593" s="213"/>
      <c r="B593" s="278"/>
      <c r="C593" s="278"/>
      <c r="D593" s="278"/>
      <c r="E593" s="279"/>
      <c r="F593" s="278"/>
      <c r="G593" s="278"/>
      <c r="H593" s="278"/>
      <c r="I593" s="279"/>
      <c r="J593" s="278"/>
      <c r="K593" s="278"/>
      <c r="L593" s="278"/>
      <c r="M593" s="212"/>
    </row>
    <row r="594" spans="1:13">
      <c r="A594" s="213"/>
      <c r="B594" s="278"/>
      <c r="C594" s="278"/>
      <c r="D594" s="278"/>
      <c r="E594" s="279"/>
      <c r="F594" s="278"/>
      <c r="G594" s="278"/>
      <c r="H594" s="278"/>
      <c r="I594" s="279"/>
      <c r="J594" s="278"/>
      <c r="K594" s="278"/>
      <c r="L594" s="278"/>
      <c r="M594" s="212"/>
    </row>
    <row r="595" spans="1:13">
      <c r="A595" s="213"/>
      <c r="B595" s="278"/>
      <c r="C595" s="278"/>
      <c r="D595" s="278"/>
      <c r="E595" s="279"/>
      <c r="F595" s="278"/>
      <c r="G595" s="278"/>
      <c r="H595" s="278"/>
      <c r="I595" s="279"/>
      <c r="J595" s="278"/>
      <c r="K595" s="278"/>
      <c r="L595" s="278"/>
      <c r="M595" s="212"/>
    </row>
    <row r="596" spans="1:13">
      <c r="A596" s="213"/>
      <c r="B596" s="278"/>
      <c r="C596" s="278"/>
      <c r="D596" s="278"/>
      <c r="E596" s="279"/>
      <c r="F596" s="278"/>
      <c r="G596" s="278"/>
      <c r="H596" s="278"/>
      <c r="I596" s="279"/>
      <c r="J596" s="278"/>
      <c r="K596" s="278"/>
      <c r="L596" s="278"/>
      <c r="M596" s="212"/>
    </row>
    <row r="597" spans="1:13">
      <c r="A597" s="213"/>
      <c r="B597" s="279"/>
      <c r="C597" s="279"/>
      <c r="D597" s="279"/>
      <c r="E597" s="279"/>
      <c r="F597" s="279"/>
      <c r="G597" s="279"/>
      <c r="H597" s="279"/>
      <c r="I597" s="279"/>
      <c r="J597" s="279"/>
      <c r="K597" s="279"/>
      <c r="L597" s="279"/>
      <c r="M597" s="212"/>
    </row>
    <row r="598" spans="1:13">
      <c r="A598" s="213"/>
      <c r="B598" s="213"/>
      <c r="C598" s="213"/>
      <c r="D598" s="213"/>
      <c r="E598" s="213"/>
      <c r="F598" s="213"/>
      <c r="G598" s="213"/>
      <c r="H598" s="213"/>
      <c r="I598" s="213"/>
      <c r="J598" s="213"/>
      <c r="K598" s="213"/>
      <c r="L598" s="216"/>
      <c r="M598" s="212"/>
    </row>
    <row r="599" spans="1:13">
      <c r="A599" s="213"/>
      <c r="B599" s="213"/>
      <c r="C599" s="213"/>
      <c r="D599" s="213"/>
      <c r="E599" s="213"/>
      <c r="F599" s="213"/>
      <c r="G599" s="213"/>
      <c r="H599" s="213"/>
      <c r="I599" s="213"/>
      <c r="J599" s="213"/>
      <c r="K599" s="213"/>
      <c r="L599" s="260"/>
      <c r="M599" s="212"/>
    </row>
    <row r="600" spans="1:13">
      <c r="A600" s="234"/>
      <c r="B600" s="217"/>
      <c r="C600" s="217"/>
      <c r="D600" s="217"/>
      <c r="E600" s="217"/>
      <c r="F600" s="217"/>
      <c r="G600" s="217"/>
      <c r="H600" s="217"/>
      <c r="I600" s="217"/>
      <c r="J600" s="217"/>
      <c r="K600" s="217"/>
      <c r="L600" s="212"/>
      <c r="M600" s="212"/>
    </row>
    <row r="601" spans="1:13">
      <c r="A601" s="217"/>
      <c r="B601" s="347"/>
      <c r="C601" s="347"/>
      <c r="D601" s="347"/>
      <c r="E601" s="229"/>
      <c r="F601" s="347"/>
      <c r="G601" s="347"/>
      <c r="H601" s="347"/>
      <c r="I601" s="229"/>
      <c r="J601" s="347"/>
      <c r="K601" s="347"/>
      <c r="L601" s="347"/>
      <c r="M601" s="212"/>
    </row>
    <row r="602" spans="1:13">
      <c r="A602" s="234"/>
      <c r="B602" s="235"/>
      <c r="C602" s="235"/>
      <c r="D602" s="235"/>
      <c r="E602" s="235"/>
      <c r="F602" s="235"/>
      <c r="G602" s="235"/>
      <c r="H602" s="235"/>
      <c r="I602" s="235"/>
      <c r="J602" s="235"/>
      <c r="K602" s="235"/>
      <c r="L602" s="235"/>
      <c r="M602" s="212"/>
    </row>
    <row r="603" spans="1:13">
      <c r="A603" s="234"/>
      <c r="B603" s="235"/>
      <c r="C603" s="235"/>
      <c r="D603" s="235"/>
      <c r="E603" s="235"/>
      <c r="F603" s="235"/>
      <c r="G603" s="235"/>
      <c r="H603" s="235"/>
      <c r="I603" s="235"/>
      <c r="J603" s="235"/>
      <c r="K603" s="235"/>
      <c r="L603" s="235"/>
      <c r="M603" s="212"/>
    </row>
    <row r="604" spans="1:13">
      <c r="A604" s="213"/>
      <c r="B604" s="278"/>
      <c r="C604" s="278"/>
      <c r="D604" s="278"/>
      <c r="E604" s="279"/>
      <c r="F604" s="278"/>
      <c r="G604" s="278"/>
      <c r="H604" s="278"/>
      <c r="I604" s="279"/>
      <c r="J604" s="278"/>
      <c r="K604" s="278"/>
      <c r="L604" s="278"/>
      <c r="M604" s="212"/>
    </row>
    <row r="605" spans="1:13">
      <c r="A605" s="213"/>
      <c r="B605" s="278"/>
      <c r="C605" s="278"/>
      <c r="D605" s="278"/>
      <c r="E605" s="279"/>
      <c r="F605" s="278"/>
      <c r="G605" s="278"/>
      <c r="H605" s="278"/>
      <c r="I605" s="279"/>
      <c r="J605" s="278"/>
      <c r="K605" s="278"/>
      <c r="L605" s="278"/>
      <c r="M605" s="212"/>
    </row>
    <row r="606" spans="1:13">
      <c r="A606" s="213"/>
      <c r="B606" s="278"/>
      <c r="C606" s="278"/>
      <c r="D606" s="278"/>
      <c r="E606" s="279"/>
      <c r="F606" s="278"/>
      <c r="G606" s="278"/>
      <c r="H606" s="278"/>
      <c r="I606" s="279"/>
      <c r="J606" s="278"/>
      <c r="K606" s="278"/>
      <c r="L606" s="278"/>
      <c r="M606" s="212"/>
    </row>
    <row r="607" spans="1:13">
      <c r="A607" s="213"/>
      <c r="B607" s="278"/>
      <c r="C607" s="278"/>
      <c r="D607" s="278"/>
      <c r="E607" s="279"/>
      <c r="F607" s="278"/>
      <c r="G607" s="278"/>
      <c r="H607" s="278"/>
      <c r="I607" s="279"/>
      <c r="J607" s="278"/>
      <c r="K607" s="278"/>
      <c r="L607" s="278"/>
      <c r="M607" s="212"/>
    </row>
    <row r="608" spans="1:13">
      <c r="A608" s="213"/>
      <c r="B608" s="278"/>
      <c r="C608" s="278"/>
      <c r="D608" s="278"/>
      <c r="E608" s="279"/>
      <c r="F608" s="278"/>
      <c r="G608" s="278"/>
      <c r="H608" s="278"/>
      <c r="I608" s="279"/>
      <c r="J608" s="278"/>
      <c r="K608" s="278"/>
      <c r="L608" s="278"/>
      <c r="M608" s="212"/>
    </row>
    <row r="609" spans="1:13">
      <c r="A609" s="213"/>
      <c r="B609" s="278"/>
      <c r="C609" s="278"/>
      <c r="D609" s="278"/>
      <c r="E609" s="279"/>
      <c r="F609" s="278"/>
      <c r="G609" s="278"/>
      <c r="H609" s="278"/>
      <c r="I609" s="279"/>
      <c r="J609" s="278"/>
      <c r="K609" s="278"/>
      <c r="L609" s="278"/>
      <c r="M609" s="212"/>
    </row>
    <row r="610" spans="1:13">
      <c r="A610" s="213"/>
      <c r="B610" s="278"/>
      <c r="C610" s="278"/>
      <c r="D610" s="278"/>
      <c r="E610" s="279"/>
      <c r="F610" s="278"/>
      <c r="G610" s="278"/>
      <c r="H610" s="278"/>
      <c r="I610" s="279"/>
      <c r="J610" s="278"/>
      <c r="K610" s="278"/>
      <c r="L610" s="278"/>
      <c r="M610" s="212"/>
    </row>
    <row r="611" spans="1:13">
      <c r="A611" s="213"/>
      <c r="B611" s="278"/>
      <c r="C611" s="278"/>
      <c r="D611" s="278"/>
      <c r="E611" s="279"/>
      <c r="F611" s="278"/>
      <c r="G611" s="278"/>
      <c r="H611" s="278"/>
      <c r="I611" s="279"/>
      <c r="J611" s="278"/>
      <c r="K611" s="278"/>
      <c r="L611" s="278"/>
      <c r="M611" s="212"/>
    </row>
    <row r="612" spans="1:13">
      <c r="A612" s="213"/>
      <c r="B612" s="278"/>
      <c r="C612" s="278"/>
      <c r="D612" s="278"/>
      <c r="E612" s="279"/>
      <c r="F612" s="278"/>
      <c r="G612" s="278"/>
      <c r="H612" s="278"/>
      <c r="I612" s="279"/>
      <c r="J612" s="278"/>
      <c r="K612" s="278"/>
      <c r="L612" s="278"/>
      <c r="M612" s="212"/>
    </row>
    <row r="613" spans="1:13">
      <c r="A613" s="213"/>
      <c r="B613" s="278"/>
      <c r="C613" s="278"/>
      <c r="D613" s="278"/>
      <c r="E613" s="279"/>
      <c r="F613" s="278"/>
      <c r="G613" s="278"/>
      <c r="H613" s="278"/>
      <c r="I613" s="279"/>
      <c r="J613" s="278"/>
      <c r="K613" s="278"/>
      <c r="L613" s="278"/>
      <c r="M613" s="212"/>
    </row>
    <row r="614" spans="1:13">
      <c r="A614" s="213"/>
      <c r="B614" s="279"/>
      <c r="C614" s="279"/>
      <c r="D614" s="279"/>
      <c r="E614" s="279"/>
      <c r="F614" s="279"/>
      <c r="G614" s="279"/>
      <c r="H614" s="279"/>
      <c r="I614" s="279"/>
      <c r="J614" s="279"/>
      <c r="K614" s="279"/>
      <c r="L614" s="279"/>
      <c r="M614" s="212"/>
    </row>
    <row r="615" spans="1:13">
      <c r="A615" s="213"/>
      <c r="B615" s="213"/>
      <c r="C615" s="213"/>
      <c r="D615" s="213"/>
      <c r="E615" s="213"/>
      <c r="F615" s="213"/>
      <c r="G615" s="213"/>
      <c r="H615" s="213"/>
      <c r="I615" s="213"/>
      <c r="J615" s="213"/>
      <c r="K615" s="213"/>
      <c r="L615" s="216"/>
      <c r="M615" s="212"/>
    </row>
    <row r="616" spans="1:13">
      <c r="A616" s="213"/>
      <c r="B616" s="213"/>
      <c r="C616" s="213"/>
      <c r="D616" s="213"/>
      <c r="E616" s="213"/>
      <c r="F616" s="213"/>
      <c r="G616" s="213"/>
      <c r="H616" s="213"/>
      <c r="I616" s="213"/>
      <c r="J616" s="213"/>
      <c r="K616" s="213"/>
      <c r="L616" s="260"/>
      <c r="M616" s="212"/>
    </row>
    <row r="617" spans="1:13">
      <c r="A617" s="234"/>
      <c r="B617" s="217"/>
      <c r="C617" s="217"/>
      <c r="D617" s="217"/>
      <c r="E617" s="217"/>
      <c r="F617" s="217"/>
      <c r="G617" s="217"/>
      <c r="H617" s="217"/>
      <c r="I617" s="217"/>
      <c r="J617" s="217"/>
      <c r="K617" s="217"/>
      <c r="L617" s="212"/>
      <c r="M617" s="212"/>
    </row>
    <row r="618" spans="1:13">
      <c r="A618" s="217"/>
      <c r="B618" s="347"/>
      <c r="C618" s="347"/>
      <c r="D618" s="347"/>
      <c r="E618" s="229"/>
      <c r="F618" s="347"/>
      <c r="G618" s="347"/>
      <c r="H618" s="347"/>
      <c r="I618" s="229"/>
      <c r="J618" s="347"/>
      <c r="K618" s="347"/>
      <c r="L618" s="347"/>
      <c r="M618" s="212"/>
    </row>
    <row r="619" spans="1:13">
      <c r="A619" s="234"/>
      <c r="B619" s="235"/>
      <c r="C619" s="235"/>
      <c r="D619" s="235"/>
      <c r="E619" s="235"/>
      <c r="F619" s="235"/>
      <c r="G619" s="235"/>
      <c r="H619" s="235"/>
      <c r="I619" s="235"/>
      <c r="J619" s="235"/>
      <c r="K619" s="235"/>
      <c r="L619" s="235"/>
      <c r="M619" s="212"/>
    </row>
    <row r="620" spans="1:13">
      <c r="A620" s="234"/>
      <c r="B620" s="235"/>
      <c r="C620" s="235"/>
      <c r="D620" s="235"/>
      <c r="E620" s="235"/>
      <c r="F620" s="235"/>
      <c r="G620" s="235"/>
      <c r="H620" s="235"/>
      <c r="I620" s="235"/>
      <c r="J620" s="235"/>
      <c r="K620" s="235"/>
      <c r="L620" s="235"/>
      <c r="M620" s="212"/>
    </row>
    <row r="621" spans="1:13">
      <c r="A621" s="213"/>
      <c r="B621" s="278"/>
      <c r="C621" s="278"/>
      <c r="D621" s="278"/>
      <c r="E621" s="279"/>
      <c r="F621" s="278"/>
      <c r="G621" s="278"/>
      <c r="H621" s="278"/>
      <c r="I621" s="279"/>
      <c r="J621" s="278"/>
      <c r="K621" s="278"/>
      <c r="L621" s="278"/>
      <c r="M621" s="212"/>
    </row>
    <row r="622" spans="1:13">
      <c r="A622" s="213"/>
      <c r="B622" s="278"/>
      <c r="C622" s="278"/>
      <c r="D622" s="278"/>
      <c r="E622" s="279"/>
      <c r="F622" s="278"/>
      <c r="G622" s="278"/>
      <c r="H622" s="278"/>
      <c r="I622" s="279"/>
      <c r="J622" s="278"/>
      <c r="K622" s="278"/>
      <c r="L622" s="278"/>
      <c r="M622" s="212"/>
    </row>
    <row r="623" spans="1:13">
      <c r="A623" s="213"/>
      <c r="B623" s="278"/>
      <c r="C623" s="278"/>
      <c r="D623" s="278"/>
      <c r="E623" s="279"/>
      <c r="F623" s="278"/>
      <c r="G623" s="278"/>
      <c r="H623" s="278"/>
      <c r="I623" s="279"/>
      <c r="J623" s="278"/>
      <c r="K623" s="278"/>
      <c r="L623" s="278"/>
      <c r="M623" s="212"/>
    </row>
    <row r="624" spans="1:13">
      <c r="A624" s="213"/>
      <c r="B624" s="278"/>
      <c r="C624" s="278"/>
      <c r="D624" s="278"/>
      <c r="E624" s="279"/>
      <c r="F624" s="278"/>
      <c r="G624" s="278"/>
      <c r="H624" s="278"/>
      <c r="I624" s="279"/>
      <c r="J624" s="278"/>
      <c r="K624" s="278"/>
      <c r="L624" s="278"/>
      <c r="M624" s="212"/>
    </row>
    <row r="625" spans="1:13">
      <c r="A625" s="213"/>
      <c r="B625" s="278"/>
      <c r="C625" s="278"/>
      <c r="D625" s="278"/>
      <c r="E625" s="279"/>
      <c r="F625" s="278"/>
      <c r="G625" s="278"/>
      <c r="H625" s="278"/>
      <c r="I625" s="279"/>
      <c r="J625" s="278"/>
      <c r="K625" s="278"/>
      <c r="L625" s="278"/>
      <c r="M625" s="212"/>
    </row>
    <row r="626" spans="1:13">
      <c r="A626" s="213"/>
      <c r="B626" s="278"/>
      <c r="C626" s="278"/>
      <c r="D626" s="278"/>
      <c r="E626" s="279"/>
      <c r="F626" s="278"/>
      <c r="G626" s="278"/>
      <c r="H626" s="278"/>
      <c r="I626" s="279"/>
      <c r="J626" s="278"/>
      <c r="K626" s="278"/>
      <c r="L626" s="278"/>
      <c r="M626" s="212"/>
    </row>
    <row r="627" spans="1:13">
      <c r="A627" s="213"/>
      <c r="B627" s="278"/>
      <c r="C627" s="278"/>
      <c r="D627" s="278"/>
      <c r="E627" s="279"/>
      <c r="F627" s="278"/>
      <c r="G627" s="278"/>
      <c r="H627" s="278"/>
      <c r="I627" s="279"/>
      <c r="J627" s="278"/>
      <c r="K627" s="278"/>
      <c r="L627" s="278"/>
      <c r="M627" s="212"/>
    </row>
    <row r="628" spans="1:13">
      <c r="A628" s="213"/>
      <c r="B628" s="278"/>
      <c r="C628" s="278"/>
      <c r="D628" s="278"/>
      <c r="E628" s="279"/>
      <c r="F628" s="278"/>
      <c r="G628" s="278"/>
      <c r="H628" s="278"/>
      <c r="I628" s="279"/>
      <c r="J628" s="278"/>
      <c r="K628" s="278"/>
      <c r="L628" s="278"/>
      <c r="M628" s="212"/>
    </row>
    <row r="629" spans="1:13">
      <c r="A629" s="213"/>
      <c r="B629" s="278"/>
      <c r="C629" s="278"/>
      <c r="D629" s="278"/>
      <c r="E629" s="279"/>
      <c r="F629" s="278"/>
      <c r="G629" s="278"/>
      <c r="H629" s="278"/>
      <c r="I629" s="279"/>
      <c r="J629" s="278"/>
      <c r="K629" s="278"/>
      <c r="L629" s="278"/>
      <c r="M629" s="212"/>
    </row>
    <row r="630" spans="1:13">
      <c r="A630" s="213"/>
      <c r="B630" s="278"/>
      <c r="C630" s="278"/>
      <c r="D630" s="278"/>
      <c r="E630" s="279"/>
      <c r="F630" s="278"/>
      <c r="G630" s="278"/>
      <c r="H630" s="278"/>
      <c r="I630" s="279"/>
      <c r="J630" s="278"/>
      <c r="K630" s="278"/>
      <c r="L630" s="278"/>
      <c r="M630" s="212"/>
    </row>
    <row r="631" spans="1:13">
      <c r="A631" s="213"/>
      <c r="B631" s="279"/>
      <c r="C631" s="279"/>
      <c r="D631" s="279"/>
      <c r="E631" s="279"/>
      <c r="F631" s="279"/>
      <c r="G631" s="279"/>
      <c r="H631" s="279"/>
      <c r="I631" s="279"/>
      <c r="J631" s="279"/>
      <c r="K631" s="279"/>
      <c r="L631" s="279"/>
      <c r="M631" s="212"/>
    </row>
    <row r="632" spans="1:13">
      <c r="A632" s="213"/>
      <c r="B632" s="213"/>
      <c r="C632" s="213"/>
      <c r="D632" s="213"/>
      <c r="E632" s="213"/>
      <c r="F632" s="213"/>
      <c r="G632" s="213"/>
      <c r="H632" s="213"/>
      <c r="I632" s="213"/>
      <c r="J632" s="213"/>
      <c r="K632" s="213"/>
      <c r="L632" s="216"/>
      <c r="M632" s="212"/>
    </row>
    <row r="633" spans="1:13">
      <c r="A633" s="213"/>
      <c r="B633" s="213"/>
      <c r="C633" s="213"/>
      <c r="D633" s="213"/>
      <c r="E633" s="213"/>
      <c r="F633" s="213"/>
      <c r="G633" s="213"/>
      <c r="H633" s="213"/>
      <c r="I633" s="213"/>
      <c r="J633" s="213"/>
      <c r="K633" s="213"/>
      <c r="L633" s="260"/>
      <c r="M633" s="212"/>
    </row>
    <row r="634" spans="1:13">
      <c r="A634" s="234"/>
      <c r="B634" s="217"/>
      <c r="C634" s="217"/>
      <c r="D634" s="217"/>
      <c r="E634" s="217"/>
      <c r="F634" s="217"/>
      <c r="G634" s="217"/>
      <c r="H634" s="217"/>
      <c r="I634" s="217"/>
      <c r="J634" s="217"/>
      <c r="K634" s="217"/>
      <c r="L634" s="212"/>
      <c r="M634" s="212"/>
    </row>
    <row r="635" spans="1:13">
      <c r="A635" s="217"/>
      <c r="B635" s="347"/>
      <c r="C635" s="347"/>
      <c r="D635" s="347"/>
      <c r="E635" s="229"/>
      <c r="F635" s="347"/>
      <c r="G635" s="347"/>
      <c r="H635" s="347"/>
      <c r="I635" s="229"/>
      <c r="J635" s="347"/>
      <c r="K635" s="347"/>
      <c r="L635" s="347"/>
      <c r="M635" s="212"/>
    </row>
    <row r="636" spans="1:13">
      <c r="A636" s="234"/>
      <c r="B636" s="235"/>
      <c r="C636" s="235"/>
      <c r="D636" s="235"/>
      <c r="E636" s="235"/>
      <c r="F636" s="235"/>
      <c r="G636" s="235"/>
      <c r="H636" s="235"/>
      <c r="I636" s="235"/>
      <c r="J636" s="235"/>
      <c r="K636" s="235"/>
      <c r="L636" s="235"/>
      <c r="M636" s="212"/>
    </row>
    <row r="637" spans="1:13">
      <c r="A637" s="234"/>
      <c r="B637" s="235"/>
      <c r="C637" s="235"/>
      <c r="D637" s="235"/>
      <c r="E637" s="235"/>
      <c r="F637" s="235"/>
      <c r="G637" s="235"/>
      <c r="H637" s="235"/>
      <c r="I637" s="235"/>
      <c r="J637" s="235"/>
      <c r="K637" s="235"/>
      <c r="L637" s="235"/>
      <c r="M637" s="212"/>
    </row>
    <row r="638" spans="1:13">
      <c r="A638" s="213"/>
      <c r="B638" s="278"/>
      <c r="C638" s="278"/>
      <c r="D638" s="278"/>
      <c r="E638" s="279"/>
      <c r="F638" s="278"/>
      <c r="G638" s="278"/>
      <c r="H638" s="278"/>
      <c r="I638" s="279"/>
      <c r="J638" s="278"/>
      <c r="K638" s="278"/>
      <c r="L638" s="278"/>
      <c r="M638" s="212"/>
    </row>
    <row r="639" spans="1:13">
      <c r="A639" s="213"/>
      <c r="B639" s="278"/>
      <c r="C639" s="278"/>
      <c r="D639" s="278"/>
      <c r="E639" s="279"/>
      <c r="F639" s="278"/>
      <c r="G639" s="278"/>
      <c r="H639" s="278"/>
      <c r="I639" s="279"/>
      <c r="J639" s="278"/>
      <c r="K639" s="278"/>
      <c r="L639" s="278"/>
      <c r="M639" s="212"/>
    </row>
    <row r="640" spans="1:13">
      <c r="A640" s="213"/>
      <c r="B640" s="278"/>
      <c r="C640" s="278"/>
      <c r="D640" s="278"/>
      <c r="E640" s="279"/>
      <c r="F640" s="278"/>
      <c r="G640" s="278"/>
      <c r="H640" s="278"/>
      <c r="I640" s="279"/>
      <c r="J640" s="278"/>
      <c r="K640" s="278"/>
      <c r="L640" s="278"/>
      <c r="M640" s="212"/>
    </row>
    <row r="641" spans="1:13">
      <c r="A641" s="213"/>
      <c r="B641" s="278"/>
      <c r="C641" s="278"/>
      <c r="D641" s="278"/>
      <c r="E641" s="279"/>
      <c r="F641" s="278"/>
      <c r="G641" s="278"/>
      <c r="H641" s="278"/>
      <c r="I641" s="279"/>
      <c r="J641" s="278"/>
      <c r="K641" s="278"/>
      <c r="L641" s="278"/>
      <c r="M641" s="212"/>
    </row>
    <row r="642" spans="1:13">
      <c r="A642" s="213"/>
      <c r="B642" s="278"/>
      <c r="C642" s="278"/>
      <c r="D642" s="278"/>
      <c r="E642" s="279"/>
      <c r="F642" s="278"/>
      <c r="G642" s="278"/>
      <c r="H642" s="278"/>
      <c r="I642" s="279"/>
      <c r="J642" s="278"/>
      <c r="K642" s="278"/>
      <c r="L642" s="278"/>
      <c r="M642" s="212"/>
    </row>
    <row r="643" spans="1:13">
      <c r="A643" s="213"/>
      <c r="B643" s="278"/>
      <c r="C643" s="278"/>
      <c r="D643" s="278"/>
      <c r="E643" s="279"/>
      <c r="F643" s="278"/>
      <c r="G643" s="278"/>
      <c r="H643" s="278"/>
      <c r="I643" s="279"/>
      <c r="J643" s="278"/>
      <c r="K643" s="278"/>
      <c r="L643" s="278"/>
      <c r="M643" s="212"/>
    </row>
    <row r="644" spans="1:13">
      <c r="A644" s="213"/>
      <c r="B644" s="278"/>
      <c r="C644" s="278"/>
      <c r="D644" s="278"/>
      <c r="E644" s="279"/>
      <c r="F644" s="278"/>
      <c r="G644" s="278"/>
      <c r="H644" s="278"/>
      <c r="I644" s="279"/>
      <c r="J644" s="278"/>
      <c r="K644" s="278"/>
      <c r="L644" s="278"/>
      <c r="M644" s="212"/>
    </row>
    <row r="645" spans="1:13">
      <c r="A645" s="213"/>
      <c r="B645" s="278"/>
      <c r="C645" s="278"/>
      <c r="D645" s="278"/>
      <c r="E645" s="279"/>
      <c r="F645" s="278"/>
      <c r="G645" s="278"/>
      <c r="H645" s="278"/>
      <c r="I645" s="279"/>
      <c r="J645" s="278"/>
      <c r="K645" s="278"/>
      <c r="L645" s="278"/>
      <c r="M645" s="212"/>
    </row>
    <row r="646" spans="1:13">
      <c r="A646" s="213"/>
      <c r="B646" s="278"/>
      <c r="C646" s="278"/>
      <c r="D646" s="278"/>
      <c r="E646" s="279"/>
      <c r="F646" s="278"/>
      <c r="G646" s="278"/>
      <c r="H646" s="278"/>
      <c r="I646" s="279"/>
      <c r="J646" s="278"/>
      <c r="K646" s="278"/>
      <c r="L646" s="278"/>
      <c r="M646" s="212"/>
    </row>
    <row r="647" spans="1:13">
      <c r="A647" s="213"/>
      <c r="B647" s="278"/>
      <c r="C647" s="278"/>
      <c r="D647" s="278"/>
      <c r="E647" s="279"/>
      <c r="F647" s="278"/>
      <c r="G647" s="278"/>
      <c r="H647" s="278"/>
      <c r="I647" s="279"/>
      <c r="J647" s="278"/>
      <c r="K647" s="278"/>
      <c r="L647" s="278"/>
      <c r="M647" s="212"/>
    </row>
    <row r="648" spans="1:13">
      <c r="A648" s="213"/>
      <c r="B648" s="279"/>
      <c r="C648" s="279"/>
      <c r="D648" s="279"/>
      <c r="E648" s="279"/>
      <c r="F648" s="279"/>
      <c r="G648" s="279"/>
      <c r="H648" s="279"/>
      <c r="I648" s="279"/>
      <c r="J648" s="279"/>
      <c r="K648" s="279"/>
      <c r="L648" s="279"/>
      <c r="M648" s="212"/>
    </row>
    <row r="649" spans="1:13">
      <c r="A649" s="213"/>
      <c r="B649" s="213"/>
      <c r="C649" s="213"/>
      <c r="D649" s="213"/>
      <c r="E649" s="213"/>
      <c r="F649" s="213"/>
      <c r="G649" s="213"/>
      <c r="H649" s="213"/>
      <c r="I649" s="213"/>
      <c r="J649" s="213"/>
      <c r="K649" s="213"/>
      <c r="L649" s="216"/>
      <c r="M649" s="212"/>
    </row>
    <row r="650" spans="1:13">
      <c r="A650" s="213"/>
      <c r="B650" s="213"/>
      <c r="C650" s="213"/>
      <c r="D650" s="213"/>
      <c r="E650" s="213"/>
      <c r="F650" s="213"/>
      <c r="G650" s="213"/>
      <c r="H650" s="213"/>
      <c r="I650" s="213"/>
      <c r="J650" s="213"/>
      <c r="K650" s="213"/>
      <c r="L650" s="260"/>
      <c r="M650" s="212"/>
    </row>
    <row r="651" spans="1:13">
      <c r="A651" s="234"/>
      <c r="B651" s="217"/>
      <c r="C651" s="217"/>
      <c r="D651" s="217"/>
      <c r="E651" s="217"/>
      <c r="F651" s="217"/>
      <c r="G651" s="217"/>
      <c r="H651" s="217"/>
      <c r="I651" s="217"/>
      <c r="J651" s="217"/>
      <c r="K651" s="217"/>
      <c r="L651" s="212"/>
      <c r="M651" s="212"/>
    </row>
    <row r="652" spans="1:13">
      <c r="A652" s="217"/>
      <c r="B652" s="347"/>
      <c r="C652" s="347"/>
      <c r="D652" s="347"/>
      <c r="E652" s="229"/>
      <c r="F652" s="347"/>
      <c r="G652" s="347"/>
      <c r="H652" s="347"/>
      <c r="I652" s="229"/>
      <c r="J652" s="347"/>
      <c r="K652" s="347"/>
      <c r="L652" s="347"/>
      <c r="M652" s="212"/>
    </row>
    <row r="653" spans="1:13">
      <c r="A653" s="234"/>
      <c r="B653" s="235"/>
      <c r="C653" s="235"/>
      <c r="D653" s="235"/>
      <c r="E653" s="235"/>
      <c r="F653" s="235"/>
      <c r="G653" s="235"/>
      <c r="H653" s="235"/>
      <c r="I653" s="235"/>
      <c r="J653" s="235"/>
      <c r="K653" s="235"/>
      <c r="L653" s="235"/>
      <c r="M653" s="212"/>
    </row>
    <row r="654" spans="1:13">
      <c r="A654" s="234"/>
      <c r="B654" s="235"/>
      <c r="C654" s="235"/>
      <c r="D654" s="235"/>
      <c r="E654" s="235"/>
      <c r="F654" s="235"/>
      <c r="G654" s="235"/>
      <c r="H654" s="235"/>
      <c r="I654" s="235"/>
      <c r="J654" s="235"/>
      <c r="K654" s="235"/>
      <c r="L654" s="235"/>
      <c r="M654" s="212"/>
    </row>
    <row r="655" spans="1:13">
      <c r="A655" s="213"/>
      <c r="B655" s="278"/>
      <c r="C655" s="278"/>
      <c r="D655" s="278"/>
      <c r="E655" s="279"/>
      <c r="F655" s="278"/>
      <c r="G655" s="278"/>
      <c r="H655" s="278"/>
      <c r="I655" s="279"/>
      <c r="J655" s="278"/>
      <c r="K655" s="278"/>
      <c r="L655" s="278"/>
      <c r="M655" s="212"/>
    </row>
    <row r="656" spans="1:13">
      <c r="A656" s="213"/>
      <c r="B656" s="278"/>
      <c r="C656" s="278"/>
      <c r="D656" s="278"/>
      <c r="E656" s="279"/>
      <c r="F656" s="278"/>
      <c r="G656" s="278"/>
      <c r="H656" s="278"/>
      <c r="I656" s="279"/>
      <c r="J656" s="278"/>
      <c r="K656" s="278"/>
      <c r="L656" s="278"/>
      <c r="M656" s="212"/>
    </row>
    <row r="657" spans="1:13">
      <c r="A657" s="213"/>
      <c r="B657" s="278"/>
      <c r="C657" s="278"/>
      <c r="D657" s="278"/>
      <c r="E657" s="279"/>
      <c r="F657" s="278"/>
      <c r="G657" s="278"/>
      <c r="H657" s="278"/>
      <c r="I657" s="279"/>
      <c r="J657" s="278"/>
      <c r="K657" s="278"/>
      <c r="L657" s="278"/>
      <c r="M657" s="212"/>
    </row>
    <row r="658" spans="1:13">
      <c r="A658" s="213"/>
      <c r="B658" s="278"/>
      <c r="C658" s="278"/>
      <c r="D658" s="278"/>
      <c r="E658" s="279"/>
      <c r="F658" s="278"/>
      <c r="G658" s="278"/>
      <c r="H658" s="278"/>
      <c r="I658" s="279"/>
      <c r="J658" s="278"/>
      <c r="K658" s="278"/>
      <c r="L658" s="278"/>
      <c r="M658" s="212"/>
    </row>
    <row r="659" spans="1:13">
      <c r="A659" s="213"/>
      <c r="B659" s="278"/>
      <c r="C659" s="278"/>
      <c r="D659" s="278"/>
      <c r="E659" s="279"/>
      <c r="F659" s="278"/>
      <c r="G659" s="278"/>
      <c r="H659" s="278"/>
      <c r="I659" s="279"/>
      <c r="J659" s="278"/>
      <c r="K659" s="278"/>
      <c r="L659" s="278"/>
      <c r="M659" s="212"/>
    </row>
    <row r="660" spans="1:13">
      <c r="A660" s="213"/>
      <c r="B660" s="278"/>
      <c r="C660" s="278"/>
      <c r="D660" s="278"/>
      <c r="E660" s="279"/>
      <c r="F660" s="278"/>
      <c r="G660" s="278"/>
      <c r="H660" s="278"/>
      <c r="I660" s="279"/>
      <c r="J660" s="278"/>
      <c r="K660" s="278"/>
      <c r="L660" s="278"/>
      <c r="M660" s="212"/>
    </row>
    <row r="661" spans="1:13">
      <c r="A661" s="213"/>
      <c r="B661" s="278"/>
      <c r="C661" s="278"/>
      <c r="D661" s="278"/>
      <c r="E661" s="279"/>
      <c r="F661" s="278"/>
      <c r="G661" s="278"/>
      <c r="H661" s="278"/>
      <c r="I661" s="279"/>
      <c r="J661" s="278"/>
      <c r="K661" s="278"/>
      <c r="L661" s="278"/>
      <c r="M661" s="212"/>
    </row>
    <row r="662" spans="1:13">
      <c r="A662" s="213"/>
      <c r="B662" s="278"/>
      <c r="C662" s="278"/>
      <c r="D662" s="278"/>
      <c r="E662" s="279"/>
      <c r="F662" s="278"/>
      <c r="G662" s="278"/>
      <c r="H662" s="278"/>
      <c r="I662" s="279"/>
      <c r="J662" s="278"/>
      <c r="K662" s="278"/>
      <c r="L662" s="278"/>
      <c r="M662" s="212"/>
    </row>
    <row r="663" spans="1:13">
      <c r="A663" s="213"/>
      <c r="B663" s="278"/>
      <c r="C663" s="278"/>
      <c r="D663" s="278"/>
      <c r="E663" s="279"/>
      <c r="F663" s="278"/>
      <c r="G663" s="278"/>
      <c r="H663" s="278"/>
      <c r="I663" s="279"/>
      <c r="J663" s="278"/>
      <c r="K663" s="278"/>
      <c r="L663" s="278"/>
      <c r="M663" s="212"/>
    </row>
    <row r="664" spans="1:13">
      <c r="A664" s="213"/>
      <c r="B664" s="278"/>
      <c r="C664" s="278"/>
      <c r="D664" s="278"/>
      <c r="E664" s="279"/>
      <c r="F664" s="278"/>
      <c r="G664" s="278"/>
      <c r="H664" s="278"/>
      <c r="I664" s="279"/>
      <c r="J664" s="278"/>
      <c r="K664" s="278"/>
      <c r="L664" s="278"/>
      <c r="M664" s="212"/>
    </row>
    <row r="665" spans="1:13">
      <c r="A665" s="213"/>
      <c r="B665" s="279"/>
      <c r="C665" s="279"/>
      <c r="D665" s="279"/>
      <c r="E665" s="279"/>
      <c r="F665" s="279"/>
      <c r="G665" s="279"/>
      <c r="H665" s="279"/>
      <c r="I665" s="279"/>
      <c r="J665" s="279"/>
      <c r="K665" s="279"/>
      <c r="L665" s="279"/>
      <c r="M665" s="212"/>
    </row>
    <row r="666" spans="1:13">
      <c r="A666" s="213"/>
      <c r="B666" s="213"/>
      <c r="C666" s="213"/>
      <c r="D666" s="213"/>
      <c r="E666" s="213"/>
      <c r="F666" s="213"/>
      <c r="G666" s="213"/>
      <c r="H666" s="213"/>
      <c r="I666" s="213"/>
      <c r="J666" s="213"/>
      <c r="K666" s="213"/>
      <c r="L666" s="216"/>
      <c r="M666" s="212"/>
    </row>
    <row r="667" spans="1:13">
      <c r="A667" s="213"/>
      <c r="B667" s="213"/>
      <c r="C667" s="213"/>
      <c r="D667" s="213"/>
      <c r="E667" s="213"/>
      <c r="F667" s="213"/>
      <c r="G667" s="213"/>
      <c r="H667" s="213"/>
      <c r="I667" s="213"/>
      <c r="J667" s="213"/>
      <c r="K667" s="213"/>
      <c r="L667" s="260"/>
      <c r="M667" s="212"/>
    </row>
    <row r="668" spans="1:13">
      <c r="A668" s="234"/>
      <c r="B668" s="217"/>
      <c r="C668" s="217"/>
      <c r="D668" s="217"/>
      <c r="E668" s="217"/>
      <c r="F668" s="217"/>
      <c r="G668" s="217"/>
      <c r="H668" s="217"/>
      <c r="I668" s="217"/>
      <c r="J668" s="217"/>
      <c r="K668" s="217"/>
      <c r="L668" s="212"/>
      <c r="M668" s="212"/>
    </row>
    <row r="669" spans="1:13">
      <c r="A669" s="217"/>
      <c r="B669" s="347"/>
      <c r="C669" s="347"/>
      <c r="D669" s="347"/>
      <c r="E669" s="229"/>
      <c r="F669" s="347"/>
      <c r="G669" s="347"/>
      <c r="H669" s="347"/>
      <c r="I669" s="229"/>
      <c r="J669" s="347"/>
      <c r="K669" s="347"/>
      <c r="L669" s="347"/>
      <c r="M669" s="212"/>
    </row>
    <row r="670" spans="1:13">
      <c r="A670" s="234"/>
      <c r="B670" s="235"/>
      <c r="C670" s="235"/>
      <c r="D670" s="235"/>
      <c r="E670" s="235"/>
      <c r="F670" s="235"/>
      <c r="G670" s="235"/>
      <c r="H670" s="235"/>
      <c r="I670" s="235"/>
      <c r="J670" s="235"/>
      <c r="K670" s="235"/>
      <c r="L670" s="235"/>
      <c r="M670" s="212"/>
    </row>
    <row r="671" spans="1:13">
      <c r="A671" s="234"/>
      <c r="B671" s="235"/>
      <c r="C671" s="235"/>
      <c r="D671" s="235"/>
      <c r="E671" s="235"/>
      <c r="F671" s="235"/>
      <c r="G671" s="235"/>
      <c r="H671" s="235"/>
      <c r="I671" s="235"/>
      <c r="J671" s="235"/>
      <c r="K671" s="235"/>
      <c r="L671" s="235"/>
      <c r="M671" s="212"/>
    </row>
    <row r="672" spans="1:13">
      <c r="A672" s="213"/>
      <c r="B672" s="278"/>
      <c r="C672" s="278"/>
      <c r="D672" s="278"/>
      <c r="E672" s="279"/>
      <c r="F672" s="278"/>
      <c r="G672" s="278"/>
      <c r="H672" s="278"/>
      <c r="I672" s="279"/>
      <c r="J672" s="278"/>
      <c r="K672" s="278"/>
      <c r="L672" s="278"/>
      <c r="M672" s="212"/>
    </row>
    <row r="673" spans="1:13">
      <c r="A673" s="213"/>
      <c r="B673" s="278"/>
      <c r="C673" s="278"/>
      <c r="D673" s="278"/>
      <c r="E673" s="279"/>
      <c r="F673" s="278"/>
      <c r="G673" s="278"/>
      <c r="H673" s="278"/>
      <c r="I673" s="279"/>
      <c r="J673" s="278"/>
      <c r="K673" s="278"/>
      <c r="L673" s="278"/>
      <c r="M673" s="212"/>
    </row>
    <row r="674" spans="1:13">
      <c r="A674" s="213"/>
      <c r="B674" s="278"/>
      <c r="C674" s="278"/>
      <c r="D674" s="278"/>
      <c r="E674" s="279"/>
      <c r="F674" s="278"/>
      <c r="G674" s="278"/>
      <c r="H674" s="278"/>
      <c r="I674" s="279"/>
      <c r="J674" s="278"/>
      <c r="K674" s="278"/>
      <c r="L674" s="278"/>
      <c r="M674" s="212"/>
    </row>
    <row r="675" spans="1:13">
      <c r="A675" s="213"/>
      <c r="B675" s="278"/>
      <c r="C675" s="278"/>
      <c r="D675" s="278"/>
      <c r="E675" s="279"/>
      <c r="F675" s="278"/>
      <c r="G675" s="278"/>
      <c r="H675" s="278"/>
      <c r="I675" s="279"/>
      <c r="J675" s="278"/>
      <c r="K675" s="278"/>
      <c r="L675" s="278"/>
      <c r="M675" s="212"/>
    </row>
    <row r="676" spans="1:13">
      <c r="A676" s="213"/>
      <c r="B676" s="278"/>
      <c r="C676" s="278"/>
      <c r="D676" s="278"/>
      <c r="E676" s="279"/>
      <c r="F676" s="278"/>
      <c r="G676" s="278"/>
      <c r="H676" s="278"/>
      <c r="I676" s="279"/>
      <c r="J676" s="278"/>
      <c r="K676" s="278"/>
      <c r="L676" s="278"/>
      <c r="M676" s="212"/>
    </row>
    <row r="677" spans="1:13">
      <c r="A677" s="213"/>
      <c r="B677" s="278"/>
      <c r="C677" s="278"/>
      <c r="D677" s="278"/>
      <c r="E677" s="279"/>
      <c r="F677" s="278"/>
      <c r="G677" s="278"/>
      <c r="H677" s="278"/>
      <c r="I677" s="279"/>
      <c r="J677" s="278"/>
      <c r="K677" s="278"/>
      <c r="L677" s="278"/>
      <c r="M677" s="212"/>
    </row>
    <row r="678" spans="1:13">
      <c r="A678" s="213"/>
      <c r="B678" s="278"/>
      <c r="C678" s="278"/>
      <c r="D678" s="278"/>
      <c r="E678" s="279"/>
      <c r="F678" s="278"/>
      <c r="G678" s="278"/>
      <c r="H678" s="278"/>
      <c r="I678" s="279"/>
      <c r="J678" s="278"/>
      <c r="K678" s="278"/>
      <c r="L678" s="278"/>
      <c r="M678" s="212"/>
    </row>
    <row r="679" spans="1:13">
      <c r="A679" s="213"/>
      <c r="B679" s="278"/>
      <c r="C679" s="278"/>
      <c r="D679" s="278"/>
      <c r="E679" s="279"/>
      <c r="F679" s="278"/>
      <c r="G679" s="278"/>
      <c r="H679" s="278"/>
      <c r="I679" s="279"/>
      <c r="J679" s="278"/>
      <c r="K679" s="278"/>
      <c r="L679" s="278"/>
      <c r="M679" s="212"/>
    </row>
    <row r="680" spans="1:13">
      <c r="A680" s="213"/>
      <c r="B680" s="278"/>
      <c r="C680" s="278"/>
      <c r="D680" s="278"/>
      <c r="E680" s="279"/>
      <c r="F680" s="278"/>
      <c r="G680" s="278"/>
      <c r="H680" s="278"/>
      <c r="I680" s="279"/>
      <c r="J680" s="278"/>
      <c r="K680" s="278"/>
      <c r="L680" s="278"/>
      <c r="M680" s="212"/>
    </row>
    <row r="681" spans="1:13">
      <c r="A681" s="213"/>
      <c r="B681" s="278"/>
      <c r="C681" s="278"/>
      <c r="D681" s="278"/>
      <c r="E681" s="279"/>
      <c r="F681" s="278"/>
      <c r="G681" s="278"/>
      <c r="H681" s="278"/>
      <c r="I681" s="279"/>
      <c r="J681" s="278"/>
      <c r="K681" s="278"/>
      <c r="L681" s="278"/>
      <c r="M681" s="212"/>
    </row>
    <row r="682" spans="1:13">
      <c r="A682" s="213"/>
      <c r="B682" s="279"/>
      <c r="C682" s="279"/>
      <c r="D682" s="279"/>
      <c r="E682" s="279"/>
      <c r="F682" s="279"/>
      <c r="G682" s="279"/>
      <c r="H682" s="279"/>
      <c r="I682" s="279"/>
      <c r="J682" s="279"/>
      <c r="K682" s="279"/>
      <c r="L682" s="279"/>
      <c r="M682" s="212"/>
    </row>
    <row r="683" spans="1:13">
      <c r="A683" s="213"/>
      <c r="B683" s="213"/>
      <c r="C683" s="213"/>
      <c r="D683" s="213"/>
      <c r="E683" s="213"/>
      <c r="F683" s="213"/>
      <c r="G683" s="213"/>
      <c r="H683" s="213"/>
      <c r="I683" s="213"/>
      <c r="J683" s="213"/>
      <c r="K683" s="213"/>
      <c r="L683" s="216"/>
      <c r="M683" s="212"/>
    </row>
    <row r="684" spans="1:13">
      <c r="A684" s="213"/>
      <c r="B684" s="213"/>
      <c r="C684" s="213"/>
      <c r="D684" s="213"/>
      <c r="E684" s="213"/>
      <c r="F684" s="213"/>
      <c r="G684" s="213"/>
      <c r="H684" s="213"/>
      <c r="I684" s="213"/>
      <c r="J684" s="213"/>
      <c r="K684" s="213"/>
      <c r="L684" s="260"/>
      <c r="M684" s="212"/>
    </row>
    <row r="685" spans="1:13">
      <c r="A685" s="234"/>
      <c r="B685" s="217"/>
      <c r="C685" s="217"/>
      <c r="D685" s="217"/>
      <c r="E685" s="217"/>
      <c r="F685" s="217"/>
      <c r="G685" s="217"/>
      <c r="H685" s="217"/>
      <c r="I685" s="217"/>
      <c r="J685" s="217"/>
      <c r="K685" s="217"/>
      <c r="L685" s="212"/>
      <c r="M685" s="212"/>
    </row>
    <row r="686" spans="1:13">
      <c r="A686" s="217"/>
      <c r="B686" s="347"/>
      <c r="C686" s="347"/>
      <c r="D686" s="347"/>
      <c r="E686" s="229"/>
      <c r="F686" s="347"/>
      <c r="G686" s="347"/>
      <c r="H686" s="347"/>
      <c r="I686" s="229"/>
      <c r="J686" s="347"/>
      <c r="K686" s="347"/>
      <c r="L686" s="347"/>
      <c r="M686" s="212"/>
    </row>
    <row r="687" spans="1:13">
      <c r="A687" s="234"/>
      <c r="B687" s="235"/>
      <c r="C687" s="235"/>
      <c r="D687" s="235"/>
      <c r="E687" s="235"/>
      <c r="F687" s="235"/>
      <c r="G687" s="235"/>
      <c r="H687" s="235"/>
      <c r="I687" s="235"/>
      <c r="J687" s="235"/>
      <c r="K687" s="235"/>
      <c r="L687" s="235"/>
      <c r="M687" s="212"/>
    </row>
    <row r="688" spans="1:13">
      <c r="A688" s="234"/>
      <c r="B688" s="235"/>
      <c r="C688" s="235"/>
      <c r="D688" s="235"/>
      <c r="E688" s="235"/>
      <c r="F688" s="235"/>
      <c r="G688" s="235"/>
      <c r="H688" s="235"/>
      <c r="I688" s="235"/>
      <c r="J688" s="235"/>
      <c r="K688" s="235"/>
      <c r="L688" s="235"/>
      <c r="M688" s="212"/>
    </row>
    <row r="689" spans="1:13">
      <c r="A689" s="213"/>
      <c r="B689" s="278"/>
      <c r="C689" s="278"/>
      <c r="D689" s="278"/>
      <c r="E689" s="279"/>
      <c r="F689" s="278"/>
      <c r="G689" s="278"/>
      <c r="H689" s="278"/>
      <c r="I689" s="279"/>
      <c r="J689" s="278"/>
      <c r="K689" s="278"/>
      <c r="L689" s="278"/>
      <c r="M689" s="212"/>
    </row>
    <row r="690" spans="1:13">
      <c r="A690" s="213"/>
      <c r="B690" s="278"/>
      <c r="C690" s="278"/>
      <c r="D690" s="278"/>
      <c r="E690" s="279"/>
      <c r="F690" s="278"/>
      <c r="G690" s="278"/>
      <c r="H690" s="278"/>
      <c r="I690" s="279"/>
      <c r="J690" s="278"/>
      <c r="K690" s="278"/>
      <c r="L690" s="278"/>
      <c r="M690" s="212"/>
    </row>
    <row r="691" spans="1:13">
      <c r="A691" s="213"/>
      <c r="B691" s="278"/>
      <c r="C691" s="278"/>
      <c r="D691" s="278"/>
      <c r="E691" s="279"/>
      <c r="F691" s="278"/>
      <c r="G691" s="278"/>
      <c r="H691" s="278"/>
      <c r="I691" s="279"/>
      <c r="J691" s="278"/>
      <c r="K691" s="278"/>
      <c r="L691" s="278"/>
      <c r="M691" s="212"/>
    </row>
    <row r="692" spans="1:13">
      <c r="A692" s="213"/>
      <c r="B692" s="278"/>
      <c r="C692" s="278"/>
      <c r="D692" s="278"/>
      <c r="E692" s="279"/>
      <c r="F692" s="278"/>
      <c r="G692" s="278"/>
      <c r="H692" s="278"/>
      <c r="I692" s="279"/>
      <c r="J692" s="278"/>
      <c r="K692" s="278"/>
      <c r="L692" s="278"/>
      <c r="M692" s="212"/>
    </row>
    <row r="693" spans="1:13">
      <c r="A693" s="213"/>
      <c r="B693" s="278"/>
      <c r="C693" s="278"/>
      <c r="D693" s="278"/>
      <c r="E693" s="279"/>
      <c r="F693" s="278"/>
      <c r="G693" s="278"/>
      <c r="H693" s="278"/>
      <c r="I693" s="279"/>
      <c r="J693" s="278"/>
      <c r="K693" s="278"/>
      <c r="L693" s="278"/>
      <c r="M693" s="212"/>
    </row>
    <row r="694" spans="1:13">
      <c r="A694" s="213"/>
      <c r="B694" s="278"/>
      <c r="C694" s="278"/>
      <c r="D694" s="278"/>
      <c r="E694" s="279"/>
      <c r="F694" s="278"/>
      <c r="G694" s="278"/>
      <c r="H694" s="278"/>
      <c r="I694" s="279"/>
      <c r="J694" s="278"/>
      <c r="K694" s="278"/>
      <c r="L694" s="278"/>
      <c r="M694" s="212"/>
    </row>
    <row r="695" spans="1:13">
      <c r="A695" s="213"/>
      <c r="B695" s="278"/>
      <c r="C695" s="278"/>
      <c r="D695" s="278"/>
      <c r="E695" s="279"/>
      <c r="F695" s="278"/>
      <c r="G695" s="278"/>
      <c r="H695" s="278"/>
      <c r="I695" s="279"/>
      <c r="J695" s="278"/>
      <c r="K695" s="278"/>
      <c r="L695" s="278"/>
      <c r="M695" s="212"/>
    </row>
    <row r="696" spans="1:13">
      <c r="A696" s="213"/>
      <c r="B696" s="278"/>
      <c r="C696" s="278"/>
      <c r="D696" s="278"/>
      <c r="E696" s="279"/>
      <c r="F696" s="278"/>
      <c r="G696" s="278"/>
      <c r="H696" s="278"/>
      <c r="I696" s="279"/>
      <c r="J696" s="278"/>
      <c r="K696" s="278"/>
      <c r="L696" s="278"/>
      <c r="M696" s="212"/>
    </row>
    <row r="697" spans="1:13">
      <c r="A697" s="213"/>
      <c r="B697" s="278"/>
      <c r="C697" s="278"/>
      <c r="D697" s="278"/>
      <c r="E697" s="279"/>
      <c r="F697" s="278"/>
      <c r="G697" s="278"/>
      <c r="H697" s="278"/>
      <c r="I697" s="279"/>
      <c r="J697" s="278"/>
      <c r="K697" s="278"/>
      <c r="L697" s="278"/>
      <c r="M697" s="212"/>
    </row>
    <row r="698" spans="1:13">
      <c r="A698" s="213"/>
      <c r="B698" s="278"/>
      <c r="C698" s="278"/>
      <c r="D698" s="278"/>
      <c r="E698" s="279"/>
      <c r="F698" s="278"/>
      <c r="G698" s="278"/>
      <c r="H698" s="278"/>
      <c r="I698" s="279"/>
      <c r="J698" s="278"/>
      <c r="K698" s="278"/>
      <c r="L698" s="278"/>
      <c r="M698" s="212"/>
    </row>
    <row r="699" spans="1:13">
      <c r="A699" s="213"/>
      <c r="B699" s="279"/>
      <c r="C699" s="279"/>
      <c r="D699" s="279"/>
      <c r="E699" s="279"/>
      <c r="F699" s="279"/>
      <c r="G699" s="279"/>
      <c r="H699" s="279"/>
      <c r="I699" s="279"/>
      <c r="J699" s="279"/>
      <c r="K699" s="279"/>
      <c r="L699" s="279"/>
      <c r="M699" s="212"/>
    </row>
    <row r="700" spans="1:13">
      <c r="A700" s="213"/>
      <c r="B700" s="213"/>
      <c r="C700" s="213"/>
      <c r="D700" s="213"/>
      <c r="E700" s="213"/>
      <c r="F700" s="213"/>
      <c r="G700" s="213"/>
      <c r="H700" s="213"/>
      <c r="I700" s="213"/>
      <c r="J700" s="213"/>
      <c r="K700" s="213"/>
      <c r="L700" s="216"/>
      <c r="M700" s="212"/>
    </row>
    <row r="701" spans="1:13">
      <c r="A701" s="213"/>
      <c r="B701" s="213"/>
      <c r="C701" s="213"/>
      <c r="D701" s="213"/>
      <c r="E701" s="213"/>
      <c r="F701" s="213"/>
      <c r="G701" s="213"/>
      <c r="H701" s="213"/>
      <c r="I701" s="213"/>
      <c r="J701" s="213"/>
      <c r="K701" s="213"/>
      <c r="L701" s="260"/>
      <c r="M701" s="212"/>
    </row>
    <row r="702" spans="1:13">
      <c r="A702" s="234"/>
      <c r="B702" s="217"/>
      <c r="C702" s="217"/>
      <c r="D702" s="217"/>
      <c r="E702" s="217"/>
      <c r="F702" s="217"/>
      <c r="G702" s="217"/>
      <c r="H702" s="217"/>
      <c r="I702" s="217"/>
      <c r="J702" s="217"/>
      <c r="K702" s="217"/>
      <c r="L702" s="212"/>
      <c r="M702" s="212"/>
    </row>
    <row r="703" spans="1:13">
      <c r="A703" s="217"/>
      <c r="B703" s="347"/>
      <c r="C703" s="347"/>
      <c r="D703" s="347"/>
      <c r="E703" s="229"/>
      <c r="F703" s="347"/>
      <c r="G703" s="347"/>
      <c r="H703" s="347"/>
      <c r="I703" s="229"/>
      <c r="J703" s="347"/>
      <c r="K703" s="347"/>
      <c r="L703" s="347"/>
      <c r="M703" s="212"/>
    </row>
    <row r="704" spans="1:13">
      <c r="A704" s="234"/>
      <c r="B704" s="235"/>
      <c r="C704" s="235"/>
      <c r="D704" s="235"/>
      <c r="E704" s="235"/>
      <c r="F704" s="235"/>
      <c r="G704" s="235"/>
      <c r="H704" s="235"/>
      <c r="I704" s="235"/>
      <c r="J704" s="235"/>
      <c r="K704" s="235"/>
      <c r="L704" s="235"/>
      <c r="M704" s="212"/>
    </row>
    <row r="705" spans="1:13">
      <c r="A705" s="234"/>
      <c r="B705" s="235"/>
      <c r="C705" s="235"/>
      <c r="D705" s="235"/>
      <c r="E705" s="235"/>
      <c r="F705" s="235"/>
      <c r="G705" s="235"/>
      <c r="H705" s="235"/>
      <c r="I705" s="235"/>
      <c r="J705" s="235"/>
      <c r="K705" s="235"/>
      <c r="L705" s="235"/>
      <c r="M705" s="212"/>
    </row>
    <row r="706" spans="1:13">
      <c r="A706" s="213"/>
      <c r="B706" s="278"/>
      <c r="C706" s="278"/>
      <c r="D706" s="278"/>
      <c r="E706" s="279"/>
      <c r="F706" s="278"/>
      <c r="G706" s="278"/>
      <c r="H706" s="278"/>
      <c r="I706" s="279"/>
      <c r="J706" s="278"/>
      <c r="K706" s="278"/>
      <c r="L706" s="278"/>
      <c r="M706" s="212"/>
    </row>
    <row r="707" spans="1:13">
      <c r="A707" s="213"/>
      <c r="B707" s="278"/>
      <c r="C707" s="278"/>
      <c r="D707" s="278"/>
      <c r="E707" s="279"/>
      <c r="F707" s="278"/>
      <c r="G707" s="278"/>
      <c r="H707" s="278"/>
      <c r="I707" s="279"/>
      <c r="J707" s="278"/>
      <c r="K707" s="278"/>
      <c r="L707" s="278"/>
      <c r="M707" s="212"/>
    </row>
    <row r="708" spans="1:13">
      <c r="A708" s="213"/>
      <c r="B708" s="278"/>
      <c r="C708" s="278"/>
      <c r="D708" s="278"/>
      <c r="E708" s="279"/>
      <c r="F708" s="278"/>
      <c r="G708" s="278"/>
      <c r="H708" s="278"/>
      <c r="I708" s="279"/>
      <c r="J708" s="278"/>
      <c r="K708" s="278"/>
      <c r="L708" s="278"/>
      <c r="M708" s="212"/>
    </row>
    <row r="709" spans="1:13">
      <c r="A709" s="213"/>
      <c r="B709" s="278"/>
      <c r="C709" s="278"/>
      <c r="D709" s="278"/>
      <c r="E709" s="279"/>
      <c r="F709" s="278"/>
      <c r="G709" s="278"/>
      <c r="H709" s="278"/>
      <c r="I709" s="279"/>
      <c r="J709" s="278"/>
      <c r="K709" s="278"/>
      <c r="L709" s="278"/>
      <c r="M709" s="212"/>
    </row>
    <row r="710" spans="1:13">
      <c r="A710" s="213"/>
      <c r="B710" s="278"/>
      <c r="C710" s="278"/>
      <c r="D710" s="278"/>
      <c r="E710" s="279"/>
      <c r="F710" s="278"/>
      <c r="G710" s="278"/>
      <c r="H710" s="278"/>
      <c r="I710" s="279"/>
      <c r="J710" s="278"/>
      <c r="K710" s="278"/>
      <c r="L710" s="278"/>
      <c r="M710" s="212"/>
    </row>
    <row r="711" spans="1:13">
      <c r="A711" s="213"/>
      <c r="B711" s="278"/>
      <c r="C711" s="278"/>
      <c r="D711" s="278"/>
      <c r="E711" s="279"/>
      <c r="F711" s="278"/>
      <c r="G711" s="278"/>
      <c r="H711" s="278"/>
      <c r="I711" s="279"/>
      <c r="J711" s="278"/>
      <c r="K711" s="278"/>
      <c r="L711" s="278"/>
      <c r="M711" s="212"/>
    </row>
    <row r="712" spans="1:13">
      <c r="A712" s="213"/>
      <c r="B712" s="278"/>
      <c r="C712" s="278"/>
      <c r="D712" s="278"/>
      <c r="E712" s="279"/>
      <c r="F712" s="278"/>
      <c r="G712" s="278"/>
      <c r="H712" s="278"/>
      <c r="I712" s="279"/>
      <c r="J712" s="278"/>
      <c r="K712" s="278"/>
      <c r="L712" s="278"/>
      <c r="M712" s="212"/>
    </row>
    <row r="713" spans="1:13">
      <c r="A713" s="213"/>
      <c r="B713" s="278"/>
      <c r="C713" s="278"/>
      <c r="D713" s="278"/>
      <c r="E713" s="279"/>
      <c r="F713" s="278"/>
      <c r="G713" s="278"/>
      <c r="H713" s="278"/>
      <c r="I713" s="279"/>
      <c r="J713" s="278"/>
      <c r="K713" s="278"/>
      <c r="L713" s="278"/>
      <c r="M713" s="212"/>
    </row>
    <row r="714" spans="1:13">
      <c r="A714" s="213"/>
      <c r="B714" s="278"/>
      <c r="C714" s="278"/>
      <c r="D714" s="278"/>
      <c r="E714" s="279"/>
      <c r="F714" s="278"/>
      <c r="G714" s="278"/>
      <c r="H714" s="278"/>
      <c r="I714" s="279"/>
      <c r="J714" s="278"/>
      <c r="K714" s="278"/>
      <c r="L714" s="278"/>
      <c r="M714" s="212"/>
    </row>
    <row r="715" spans="1:13">
      <c r="A715" s="213"/>
      <c r="B715" s="278"/>
      <c r="C715" s="278"/>
      <c r="D715" s="278"/>
      <c r="E715" s="279"/>
      <c r="F715" s="278"/>
      <c r="G715" s="278"/>
      <c r="H715" s="278"/>
      <c r="I715" s="279"/>
      <c r="J715" s="278"/>
      <c r="K715" s="278"/>
      <c r="L715" s="278"/>
      <c r="M715" s="212"/>
    </row>
    <row r="716" spans="1:13">
      <c r="A716" s="213"/>
      <c r="B716" s="279"/>
      <c r="C716" s="279"/>
      <c r="D716" s="279"/>
      <c r="E716" s="279"/>
      <c r="F716" s="279"/>
      <c r="G716" s="279"/>
      <c r="H716" s="279"/>
      <c r="I716" s="279"/>
      <c r="J716" s="279"/>
      <c r="K716" s="279"/>
      <c r="L716" s="279"/>
      <c r="M716" s="212"/>
    </row>
    <row r="717" spans="1:13">
      <c r="A717" s="213"/>
      <c r="B717" s="213"/>
      <c r="C717" s="213"/>
      <c r="D717" s="213"/>
      <c r="E717" s="213"/>
      <c r="F717" s="213"/>
      <c r="G717" s="213"/>
      <c r="H717" s="213"/>
      <c r="I717" s="213"/>
      <c r="J717" s="213"/>
      <c r="K717" s="213"/>
      <c r="L717" s="216"/>
      <c r="M717" s="212"/>
    </row>
    <row r="718" spans="1:13">
      <c r="A718" s="213"/>
      <c r="B718" s="213"/>
      <c r="C718" s="213"/>
      <c r="D718" s="213"/>
      <c r="E718" s="213"/>
      <c r="F718" s="213"/>
      <c r="G718" s="213"/>
      <c r="H718" s="213"/>
      <c r="I718" s="213"/>
      <c r="J718" s="213"/>
      <c r="K718" s="213"/>
      <c r="L718" s="260"/>
      <c r="M718" s="212"/>
    </row>
    <row r="719" spans="1:13">
      <c r="A719" s="234"/>
      <c r="B719" s="217"/>
      <c r="C719" s="217"/>
      <c r="D719" s="217"/>
      <c r="E719" s="217"/>
      <c r="F719" s="217"/>
      <c r="G719" s="217"/>
      <c r="H719" s="217"/>
      <c r="I719" s="217"/>
      <c r="J719" s="217"/>
      <c r="K719" s="217"/>
      <c r="L719" s="212"/>
      <c r="M719" s="212"/>
    </row>
    <row r="720" spans="1:13">
      <c r="A720" s="217"/>
      <c r="B720" s="347"/>
      <c r="C720" s="347"/>
      <c r="D720" s="347"/>
      <c r="E720" s="229"/>
      <c r="F720" s="347"/>
      <c r="G720" s="347"/>
      <c r="H720" s="347"/>
      <c r="I720" s="229"/>
      <c r="J720" s="347"/>
      <c r="K720" s="347"/>
      <c r="L720" s="347"/>
      <c r="M720" s="212"/>
    </row>
    <row r="721" spans="1:13">
      <c r="A721" s="234"/>
      <c r="B721" s="235"/>
      <c r="C721" s="235"/>
      <c r="D721" s="235"/>
      <c r="E721" s="235"/>
      <c r="F721" s="235"/>
      <c r="G721" s="235"/>
      <c r="H721" s="235"/>
      <c r="I721" s="235"/>
      <c r="J721" s="235"/>
      <c r="K721" s="235"/>
      <c r="L721" s="235"/>
      <c r="M721" s="212"/>
    </row>
    <row r="722" spans="1:13">
      <c r="A722" s="234"/>
      <c r="B722" s="235"/>
      <c r="C722" s="235"/>
      <c r="D722" s="235"/>
      <c r="E722" s="235"/>
      <c r="F722" s="235"/>
      <c r="G722" s="235"/>
      <c r="H722" s="235"/>
      <c r="I722" s="235"/>
      <c r="J722" s="235"/>
      <c r="K722" s="235"/>
      <c r="L722" s="235"/>
      <c r="M722" s="212"/>
    </row>
    <row r="723" spans="1:13">
      <c r="A723" s="213"/>
      <c r="B723" s="278"/>
      <c r="C723" s="278"/>
      <c r="D723" s="278"/>
      <c r="E723" s="279"/>
      <c r="F723" s="278"/>
      <c r="G723" s="278"/>
      <c r="H723" s="278"/>
      <c r="I723" s="279"/>
      <c r="J723" s="278"/>
      <c r="K723" s="278"/>
      <c r="L723" s="278"/>
      <c r="M723" s="212"/>
    </row>
    <row r="724" spans="1:13">
      <c r="A724" s="213"/>
      <c r="B724" s="278"/>
      <c r="C724" s="278"/>
      <c r="D724" s="278"/>
      <c r="E724" s="279"/>
      <c r="F724" s="278"/>
      <c r="G724" s="278"/>
      <c r="H724" s="278"/>
      <c r="I724" s="279"/>
      <c r="J724" s="278"/>
      <c r="K724" s="278"/>
      <c r="L724" s="278"/>
      <c r="M724" s="212"/>
    </row>
    <row r="725" spans="1:13">
      <c r="A725" s="213"/>
      <c r="B725" s="278"/>
      <c r="C725" s="278"/>
      <c r="D725" s="278"/>
      <c r="E725" s="279"/>
      <c r="F725" s="278"/>
      <c r="G725" s="278"/>
      <c r="H725" s="278"/>
      <c r="I725" s="279"/>
      <c r="J725" s="278"/>
      <c r="K725" s="278"/>
      <c r="L725" s="278"/>
      <c r="M725" s="212"/>
    </row>
    <row r="726" spans="1:13">
      <c r="A726" s="213"/>
      <c r="B726" s="278"/>
      <c r="C726" s="278"/>
      <c r="D726" s="278"/>
      <c r="E726" s="279"/>
      <c r="F726" s="278"/>
      <c r="G726" s="278"/>
      <c r="H726" s="278"/>
      <c r="I726" s="279"/>
      <c r="J726" s="278"/>
      <c r="K726" s="278"/>
      <c r="L726" s="278"/>
      <c r="M726" s="212"/>
    </row>
    <row r="727" spans="1:13">
      <c r="A727" s="213"/>
      <c r="B727" s="278"/>
      <c r="C727" s="278"/>
      <c r="D727" s="278"/>
      <c r="E727" s="279"/>
      <c r="F727" s="278"/>
      <c r="G727" s="278"/>
      <c r="H727" s="278"/>
      <c r="I727" s="279"/>
      <c r="J727" s="278"/>
      <c r="K727" s="278"/>
      <c r="L727" s="278"/>
      <c r="M727" s="212"/>
    </row>
    <row r="728" spans="1:13">
      <c r="A728" s="213"/>
      <c r="B728" s="278"/>
      <c r="C728" s="278"/>
      <c r="D728" s="278"/>
      <c r="E728" s="279"/>
      <c r="F728" s="278"/>
      <c r="G728" s="278"/>
      <c r="H728" s="278"/>
      <c r="I728" s="279"/>
      <c r="J728" s="278"/>
      <c r="K728" s="278"/>
      <c r="L728" s="278"/>
      <c r="M728" s="212"/>
    </row>
    <row r="729" spans="1:13">
      <c r="A729" s="213"/>
      <c r="B729" s="278"/>
      <c r="C729" s="278"/>
      <c r="D729" s="278"/>
      <c r="E729" s="279"/>
      <c r="F729" s="278"/>
      <c r="G729" s="278"/>
      <c r="H729" s="278"/>
      <c r="I729" s="279"/>
      <c r="J729" s="278"/>
      <c r="K729" s="278"/>
      <c r="L729" s="278"/>
      <c r="M729" s="212"/>
    </row>
    <row r="730" spans="1:13">
      <c r="A730" s="213"/>
      <c r="B730" s="278"/>
      <c r="C730" s="278"/>
      <c r="D730" s="278"/>
      <c r="E730" s="279"/>
      <c r="F730" s="278"/>
      <c r="G730" s="278"/>
      <c r="H730" s="278"/>
      <c r="I730" s="279"/>
      <c r="J730" s="278"/>
      <c r="K730" s="278"/>
      <c r="L730" s="278"/>
      <c r="M730" s="212"/>
    </row>
    <row r="731" spans="1:13">
      <c r="A731" s="213"/>
      <c r="B731" s="278"/>
      <c r="C731" s="278"/>
      <c r="D731" s="278"/>
      <c r="E731" s="279"/>
      <c r="F731" s="278"/>
      <c r="G731" s="278"/>
      <c r="H731" s="278"/>
      <c r="I731" s="279"/>
      <c r="J731" s="278"/>
      <c r="K731" s="278"/>
      <c r="L731" s="278"/>
      <c r="M731" s="212"/>
    </row>
    <row r="732" spans="1:13">
      <c r="A732" s="213"/>
      <c r="B732" s="278"/>
      <c r="C732" s="278"/>
      <c r="D732" s="278"/>
      <c r="E732" s="279"/>
      <c r="F732" s="278"/>
      <c r="G732" s="278"/>
      <c r="H732" s="278"/>
      <c r="I732" s="279"/>
      <c r="J732" s="278"/>
      <c r="K732" s="278"/>
      <c r="L732" s="278"/>
      <c r="M732" s="212"/>
    </row>
    <row r="733" spans="1:13">
      <c r="A733" s="213"/>
      <c r="B733" s="279"/>
      <c r="C733" s="279"/>
      <c r="D733" s="279"/>
      <c r="E733" s="279"/>
      <c r="F733" s="279"/>
      <c r="G733" s="279"/>
      <c r="H733" s="279"/>
      <c r="I733" s="279"/>
      <c r="J733" s="279"/>
      <c r="K733" s="279"/>
      <c r="L733" s="279"/>
      <c r="M733" s="212"/>
    </row>
    <row r="734" spans="1:13">
      <c r="A734" s="213"/>
      <c r="B734" s="213"/>
      <c r="C734" s="213"/>
      <c r="D734" s="213"/>
      <c r="E734" s="213"/>
      <c r="F734" s="213"/>
      <c r="G734" s="213"/>
      <c r="H734" s="213"/>
      <c r="I734" s="213"/>
      <c r="J734" s="213"/>
      <c r="K734" s="213"/>
      <c r="L734" s="216"/>
      <c r="M734" s="212"/>
    </row>
    <row r="735" spans="1:13">
      <c r="A735" s="213"/>
      <c r="B735" s="213"/>
      <c r="C735" s="213"/>
      <c r="D735" s="213"/>
      <c r="E735" s="213"/>
      <c r="F735" s="213"/>
      <c r="G735" s="213"/>
      <c r="H735" s="213"/>
      <c r="I735" s="213"/>
      <c r="J735" s="213"/>
      <c r="K735" s="213"/>
      <c r="L735" s="260"/>
      <c r="M735" s="212"/>
    </row>
    <row r="736" spans="1:13">
      <c r="A736" s="234"/>
      <c r="B736" s="217"/>
      <c r="C736" s="217"/>
      <c r="D736" s="217"/>
      <c r="E736" s="217"/>
      <c r="F736" s="217"/>
      <c r="G736" s="217"/>
      <c r="H736" s="217"/>
      <c r="I736" s="217"/>
      <c r="J736" s="217"/>
      <c r="K736" s="217"/>
      <c r="L736" s="212"/>
      <c r="M736" s="212"/>
    </row>
    <row r="737" spans="1:13">
      <c r="A737" s="217"/>
      <c r="B737" s="347"/>
      <c r="C737" s="347"/>
      <c r="D737" s="347"/>
      <c r="E737" s="229"/>
      <c r="F737" s="347"/>
      <c r="G737" s="347"/>
      <c r="H737" s="347"/>
      <c r="I737" s="229"/>
      <c r="J737" s="347"/>
      <c r="K737" s="347"/>
      <c r="L737" s="347"/>
      <c r="M737" s="212"/>
    </row>
    <row r="738" spans="1:13">
      <c r="A738" s="234"/>
      <c r="B738" s="235"/>
      <c r="C738" s="235"/>
      <c r="D738" s="235"/>
      <c r="E738" s="235"/>
      <c r="F738" s="235"/>
      <c r="G738" s="235"/>
      <c r="H738" s="235"/>
      <c r="I738" s="235"/>
      <c r="J738" s="235"/>
      <c r="K738" s="235"/>
      <c r="L738" s="235"/>
      <c r="M738" s="212"/>
    </row>
    <row r="739" spans="1:13">
      <c r="A739" s="234"/>
      <c r="B739" s="235"/>
      <c r="C739" s="235"/>
      <c r="D739" s="235"/>
      <c r="E739" s="235"/>
      <c r="F739" s="235"/>
      <c r="G739" s="235"/>
      <c r="H739" s="235"/>
      <c r="I739" s="235"/>
      <c r="J739" s="235"/>
      <c r="K739" s="235"/>
      <c r="L739" s="235"/>
      <c r="M739" s="212"/>
    </row>
    <row r="740" spans="1:13">
      <c r="A740" s="213"/>
      <c r="B740" s="278"/>
      <c r="C740" s="278"/>
      <c r="D740" s="278"/>
      <c r="E740" s="279"/>
      <c r="F740" s="278"/>
      <c r="G740" s="278"/>
      <c r="H740" s="278"/>
      <c r="I740" s="279"/>
      <c r="J740" s="278"/>
      <c r="K740" s="278"/>
      <c r="L740" s="278"/>
      <c r="M740" s="212"/>
    </row>
    <row r="741" spans="1:13">
      <c r="A741" s="213"/>
      <c r="B741" s="278"/>
      <c r="C741" s="278"/>
      <c r="D741" s="278"/>
      <c r="E741" s="279"/>
      <c r="F741" s="278"/>
      <c r="G741" s="278"/>
      <c r="H741" s="278"/>
      <c r="I741" s="279"/>
      <c r="J741" s="278"/>
      <c r="K741" s="278"/>
      <c r="L741" s="278"/>
      <c r="M741" s="212"/>
    </row>
    <row r="742" spans="1:13">
      <c r="A742" s="213"/>
      <c r="B742" s="278"/>
      <c r="C742" s="278"/>
      <c r="D742" s="278"/>
      <c r="E742" s="279"/>
      <c r="F742" s="278"/>
      <c r="G742" s="278"/>
      <c r="H742" s="278"/>
      <c r="I742" s="279"/>
      <c r="J742" s="278"/>
      <c r="K742" s="278"/>
      <c r="L742" s="278"/>
      <c r="M742" s="212"/>
    </row>
    <row r="743" spans="1:13">
      <c r="A743" s="213"/>
      <c r="B743" s="278"/>
      <c r="C743" s="278"/>
      <c r="D743" s="278"/>
      <c r="E743" s="279"/>
      <c r="F743" s="278"/>
      <c r="G743" s="278"/>
      <c r="H743" s="278"/>
      <c r="I743" s="279"/>
      <c r="J743" s="278"/>
      <c r="K743" s="278"/>
      <c r="L743" s="278"/>
      <c r="M743" s="212"/>
    </row>
    <row r="744" spans="1:13">
      <c r="A744" s="213"/>
      <c r="B744" s="278"/>
      <c r="C744" s="278"/>
      <c r="D744" s="278"/>
      <c r="E744" s="279"/>
      <c r="F744" s="278"/>
      <c r="G744" s="278"/>
      <c r="H744" s="278"/>
      <c r="I744" s="279"/>
      <c r="J744" s="278"/>
      <c r="K744" s="278"/>
      <c r="L744" s="278"/>
      <c r="M744" s="212"/>
    </row>
    <row r="745" spans="1:13">
      <c r="A745" s="213"/>
      <c r="B745" s="278"/>
      <c r="C745" s="278"/>
      <c r="D745" s="278"/>
      <c r="E745" s="279"/>
      <c r="F745" s="278"/>
      <c r="G745" s="278"/>
      <c r="H745" s="278"/>
      <c r="I745" s="279"/>
      <c r="J745" s="278"/>
      <c r="K745" s="278"/>
      <c r="L745" s="278"/>
      <c r="M745" s="212"/>
    </row>
    <row r="746" spans="1:13">
      <c r="A746" s="213"/>
      <c r="B746" s="278"/>
      <c r="C746" s="278"/>
      <c r="D746" s="278"/>
      <c r="E746" s="279"/>
      <c r="F746" s="278"/>
      <c r="G746" s="278"/>
      <c r="H746" s="278"/>
      <c r="I746" s="279"/>
      <c r="J746" s="278"/>
      <c r="K746" s="278"/>
      <c r="L746" s="278"/>
      <c r="M746" s="212"/>
    </row>
    <row r="747" spans="1:13">
      <c r="A747" s="213"/>
      <c r="B747" s="278"/>
      <c r="C747" s="278"/>
      <c r="D747" s="278"/>
      <c r="E747" s="279"/>
      <c r="F747" s="278"/>
      <c r="G747" s="278"/>
      <c r="H747" s="278"/>
      <c r="I747" s="279"/>
      <c r="J747" s="278"/>
      <c r="K747" s="278"/>
      <c r="L747" s="278"/>
      <c r="M747" s="212"/>
    </row>
    <row r="748" spans="1:13">
      <c r="A748" s="213"/>
      <c r="B748" s="278"/>
      <c r="C748" s="278"/>
      <c r="D748" s="278"/>
      <c r="E748" s="279"/>
      <c r="F748" s="278"/>
      <c r="G748" s="278"/>
      <c r="H748" s="278"/>
      <c r="I748" s="279"/>
      <c r="J748" s="278"/>
      <c r="K748" s="278"/>
      <c r="L748" s="278"/>
      <c r="M748" s="212"/>
    </row>
    <row r="749" spans="1:13">
      <c r="A749" s="213"/>
      <c r="B749" s="278"/>
      <c r="C749" s="278"/>
      <c r="D749" s="278"/>
      <c r="E749" s="279"/>
      <c r="F749" s="278"/>
      <c r="G749" s="278"/>
      <c r="H749" s="278"/>
      <c r="I749" s="279"/>
      <c r="J749" s="278"/>
      <c r="K749" s="278"/>
      <c r="L749" s="278"/>
      <c r="M749" s="212"/>
    </row>
    <row r="750" spans="1:13">
      <c r="A750" s="213"/>
      <c r="B750" s="279"/>
      <c r="C750" s="279"/>
      <c r="D750" s="279"/>
      <c r="E750" s="279"/>
      <c r="F750" s="279"/>
      <c r="G750" s="279"/>
      <c r="H750" s="279"/>
      <c r="I750" s="279"/>
      <c r="J750" s="279"/>
      <c r="K750" s="279"/>
      <c r="L750" s="279"/>
      <c r="M750" s="212"/>
    </row>
    <row r="751" spans="1:13">
      <c r="A751" s="213"/>
      <c r="B751" s="213"/>
      <c r="C751" s="213"/>
      <c r="D751" s="213"/>
      <c r="E751" s="213"/>
      <c r="F751" s="213"/>
      <c r="G751" s="213"/>
      <c r="H751" s="213"/>
      <c r="I751" s="213"/>
      <c r="J751" s="213"/>
      <c r="K751" s="213"/>
      <c r="L751" s="216"/>
      <c r="M751" s="212"/>
    </row>
    <row r="752" spans="1:13">
      <c r="A752" s="213"/>
      <c r="B752" s="213"/>
      <c r="C752" s="213"/>
      <c r="D752" s="213"/>
      <c r="E752" s="213"/>
      <c r="F752" s="213"/>
      <c r="G752" s="213"/>
      <c r="H752" s="213"/>
      <c r="I752" s="213"/>
      <c r="J752" s="213"/>
      <c r="K752" s="213"/>
      <c r="L752" s="260"/>
      <c r="M752" s="212"/>
    </row>
    <row r="753" spans="1:13">
      <c r="A753" s="234"/>
      <c r="B753" s="217"/>
      <c r="C753" s="217"/>
      <c r="D753" s="217"/>
      <c r="E753" s="217"/>
      <c r="F753" s="217"/>
      <c r="G753" s="217"/>
      <c r="H753" s="217"/>
      <c r="I753" s="217"/>
      <c r="J753" s="217"/>
      <c r="K753" s="217"/>
      <c r="L753" s="212"/>
      <c r="M753" s="212"/>
    </row>
    <row r="754" spans="1:13">
      <c r="A754" s="217"/>
      <c r="B754" s="347"/>
      <c r="C754" s="347"/>
      <c r="D754" s="347"/>
      <c r="E754" s="229"/>
      <c r="F754" s="347"/>
      <c r="G754" s="347"/>
      <c r="H754" s="347"/>
      <c r="I754" s="229"/>
      <c r="J754" s="347"/>
      <c r="K754" s="347"/>
      <c r="L754" s="347"/>
      <c r="M754" s="212"/>
    </row>
    <row r="755" spans="1:13">
      <c r="A755" s="234"/>
      <c r="B755" s="235"/>
      <c r="C755" s="235"/>
      <c r="D755" s="235"/>
      <c r="E755" s="235"/>
      <c r="F755" s="235"/>
      <c r="G755" s="235"/>
      <c r="H755" s="235"/>
      <c r="I755" s="235"/>
      <c r="J755" s="235"/>
      <c r="K755" s="235"/>
      <c r="L755" s="235"/>
      <c r="M755" s="212"/>
    </row>
    <row r="756" spans="1:13">
      <c r="A756" s="234"/>
      <c r="B756" s="235"/>
      <c r="C756" s="235"/>
      <c r="D756" s="235"/>
      <c r="E756" s="235"/>
      <c r="F756" s="235"/>
      <c r="G756" s="235"/>
      <c r="H756" s="235"/>
      <c r="I756" s="235"/>
      <c r="J756" s="235"/>
      <c r="K756" s="235"/>
      <c r="L756" s="235"/>
      <c r="M756" s="212"/>
    </row>
    <row r="757" spans="1:13">
      <c r="A757" s="213"/>
      <c r="B757" s="278"/>
      <c r="C757" s="278"/>
      <c r="D757" s="278"/>
      <c r="E757" s="279"/>
      <c r="F757" s="278"/>
      <c r="G757" s="278"/>
      <c r="H757" s="278"/>
      <c r="I757" s="279"/>
      <c r="J757" s="278"/>
      <c r="K757" s="278"/>
      <c r="L757" s="278"/>
      <c r="M757" s="212"/>
    </row>
    <row r="758" spans="1:13">
      <c r="A758" s="213"/>
      <c r="B758" s="278"/>
      <c r="C758" s="278"/>
      <c r="D758" s="278"/>
      <c r="E758" s="279"/>
      <c r="F758" s="278"/>
      <c r="G758" s="278"/>
      <c r="H758" s="278"/>
      <c r="I758" s="279"/>
      <c r="J758" s="278"/>
      <c r="K758" s="278"/>
      <c r="L758" s="278"/>
      <c r="M758" s="212"/>
    </row>
    <row r="759" spans="1:13">
      <c r="A759" s="213"/>
      <c r="B759" s="278"/>
      <c r="C759" s="278"/>
      <c r="D759" s="278"/>
      <c r="E759" s="279"/>
      <c r="F759" s="278"/>
      <c r="G759" s="278"/>
      <c r="H759" s="278"/>
      <c r="I759" s="279"/>
      <c r="J759" s="278"/>
      <c r="K759" s="278"/>
      <c r="L759" s="278"/>
      <c r="M759" s="212"/>
    </row>
    <row r="760" spans="1:13">
      <c r="A760" s="213"/>
      <c r="B760" s="278"/>
      <c r="C760" s="278"/>
      <c r="D760" s="278"/>
      <c r="E760" s="279"/>
      <c r="F760" s="278"/>
      <c r="G760" s="278"/>
      <c r="H760" s="278"/>
      <c r="I760" s="279"/>
      <c r="J760" s="278"/>
      <c r="K760" s="278"/>
      <c r="L760" s="278"/>
      <c r="M760" s="212"/>
    </row>
    <row r="761" spans="1:13">
      <c r="A761" s="213"/>
      <c r="B761" s="278"/>
      <c r="C761" s="278"/>
      <c r="D761" s="278"/>
      <c r="E761" s="279"/>
      <c r="F761" s="278"/>
      <c r="G761" s="278"/>
      <c r="H761" s="278"/>
      <c r="I761" s="279"/>
      <c r="J761" s="278"/>
      <c r="K761" s="278"/>
      <c r="L761" s="278"/>
      <c r="M761" s="212"/>
    </row>
    <row r="762" spans="1:13">
      <c r="A762" s="213"/>
      <c r="B762" s="278"/>
      <c r="C762" s="278"/>
      <c r="D762" s="278"/>
      <c r="E762" s="279"/>
      <c r="F762" s="278"/>
      <c r="G762" s="278"/>
      <c r="H762" s="278"/>
      <c r="I762" s="279"/>
      <c r="J762" s="278"/>
      <c r="K762" s="278"/>
      <c r="L762" s="278"/>
      <c r="M762" s="212"/>
    </row>
    <row r="763" spans="1:13">
      <c r="A763" s="213"/>
      <c r="B763" s="278"/>
      <c r="C763" s="278"/>
      <c r="D763" s="278"/>
      <c r="E763" s="279"/>
      <c r="F763" s="278"/>
      <c r="G763" s="278"/>
      <c r="H763" s="278"/>
      <c r="I763" s="279"/>
      <c r="J763" s="278"/>
      <c r="K763" s="278"/>
      <c r="L763" s="278"/>
      <c r="M763" s="212"/>
    </row>
    <row r="764" spans="1:13">
      <c r="A764" s="213"/>
      <c r="B764" s="278"/>
      <c r="C764" s="278"/>
      <c r="D764" s="278"/>
      <c r="E764" s="279"/>
      <c r="F764" s="278"/>
      <c r="G764" s="278"/>
      <c r="H764" s="278"/>
      <c r="I764" s="279"/>
      <c r="J764" s="278"/>
      <c r="K764" s="278"/>
      <c r="L764" s="278"/>
      <c r="M764" s="212"/>
    </row>
    <row r="765" spans="1:13">
      <c r="A765" s="213"/>
      <c r="B765" s="278"/>
      <c r="C765" s="278"/>
      <c r="D765" s="278"/>
      <c r="E765" s="279"/>
      <c r="F765" s="278"/>
      <c r="G765" s="278"/>
      <c r="H765" s="278"/>
      <c r="I765" s="279"/>
      <c r="J765" s="278"/>
      <c r="K765" s="278"/>
      <c r="L765" s="278"/>
      <c r="M765" s="212"/>
    </row>
    <row r="766" spans="1:13">
      <c r="A766" s="213"/>
      <c r="B766" s="278"/>
      <c r="C766" s="278"/>
      <c r="D766" s="278"/>
      <c r="E766" s="279"/>
      <c r="F766" s="278"/>
      <c r="G766" s="278"/>
      <c r="H766" s="278"/>
      <c r="I766" s="279"/>
      <c r="J766" s="278"/>
      <c r="K766" s="278"/>
      <c r="L766" s="278"/>
      <c r="M766" s="212"/>
    </row>
    <row r="767" spans="1:13">
      <c r="A767" s="213"/>
      <c r="B767" s="279"/>
      <c r="C767" s="279"/>
      <c r="D767" s="279"/>
      <c r="E767" s="279"/>
      <c r="F767" s="279"/>
      <c r="G767" s="279"/>
      <c r="H767" s="279"/>
      <c r="I767" s="279"/>
      <c r="J767" s="279"/>
      <c r="K767" s="279"/>
      <c r="L767" s="279"/>
      <c r="M767" s="212"/>
    </row>
    <row r="768" spans="1:13">
      <c r="A768" s="213"/>
      <c r="B768" s="213"/>
      <c r="C768" s="213"/>
      <c r="D768" s="213"/>
      <c r="E768" s="213"/>
      <c r="F768" s="213"/>
      <c r="G768" s="213"/>
      <c r="H768" s="213"/>
      <c r="I768" s="213"/>
      <c r="J768" s="213"/>
      <c r="K768" s="213"/>
      <c r="L768" s="216"/>
      <c r="M768" s="212"/>
    </row>
    <row r="769" spans="1:13">
      <c r="A769" s="213"/>
      <c r="B769" s="213"/>
      <c r="C769" s="213"/>
      <c r="D769" s="213"/>
      <c r="E769" s="213"/>
      <c r="F769" s="213"/>
      <c r="G769" s="213"/>
      <c r="H769" s="213"/>
      <c r="I769" s="213"/>
      <c r="J769" s="213"/>
      <c r="K769" s="213"/>
      <c r="L769" s="260"/>
      <c r="M769" s="212"/>
    </row>
    <row r="770" spans="1:13">
      <c r="A770" s="234"/>
      <c r="B770" s="217"/>
      <c r="C770" s="217"/>
      <c r="D770" s="217"/>
      <c r="E770" s="217"/>
      <c r="F770" s="217"/>
      <c r="G770" s="217"/>
      <c r="H770" s="217"/>
      <c r="I770" s="217"/>
      <c r="J770" s="217"/>
      <c r="K770" s="217"/>
      <c r="L770" s="212"/>
      <c r="M770" s="212"/>
    </row>
    <row r="771" spans="1:13">
      <c r="A771" s="217"/>
      <c r="B771" s="347"/>
      <c r="C771" s="347"/>
      <c r="D771" s="347"/>
      <c r="E771" s="229"/>
      <c r="F771" s="347"/>
      <c r="G771" s="347"/>
      <c r="H771" s="347"/>
      <c r="I771" s="229"/>
      <c r="J771" s="347"/>
      <c r="K771" s="347"/>
      <c r="L771" s="347"/>
      <c r="M771" s="212"/>
    </row>
    <row r="772" spans="1:13">
      <c r="A772" s="234"/>
      <c r="B772" s="235"/>
      <c r="C772" s="235"/>
      <c r="D772" s="235"/>
      <c r="E772" s="235"/>
      <c r="F772" s="235"/>
      <c r="G772" s="235"/>
      <c r="H772" s="235"/>
      <c r="I772" s="235"/>
      <c r="J772" s="235"/>
      <c r="K772" s="235"/>
      <c r="L772" s="235"/>
      <c r="M772" s="212"/>
    </row>
    <row r="773" spans="1:13">
      <c r="A773" s="234"/>
      <c r="B773" s="235"/>
      <c r="C773" s="235"/>
      <c r="D773" s="235"/>
      <c r="E773" s="235"/>
      <c r="F773" s="235"/>
      <c r="G773" s="235"/>
      <c r="H773" s="235"/>
      <c r="I773" s="235"/>
      <c r="J773" s="235"/>
      <c r="K773" s="235"/>
      <c r="L773" s="235"/>
      <c r="M773" s="212"/>
    </row>
    <row r="774" spans="1:13">
      <c r="A774" s="213"/>
      <c r="B774" s="278"/>
      <c r="C774" s="278"/>
      <c r="D774" s="278"/>
      <c r="E774" s="279"/>
      <c r="F774" s="278"/>
      <c r="G774" s="278"/>
      <c r="H774" s="278"/>
      <c r="I774" s="279"/>
      <c r="J774" s="278"/>
      <c r="K774" s="278"/>
      <c r="L774" s="278"/>
      <c r="M774" s="212"/>
    </row>
    <row r="775" spans="1:13">
      <c r="A775" s="213"/>
      <c r="B775" s="278"/>
      <c r="C775" s="278"/>
      <c r="D775" s="278"/>
      <c r="E775" s="279"/>
      <c r="F775" s="278"/>
      <c r="G775" s="278"/>
      <c r="H775" s="278"/>
      <c r="I775" s="279"/>
      <c r="J775" s="278"/>
      <c r="K775" s="278"/>
      <c r="L775" s="278"/>
      <c r="M775" s="212"/>
    </row>
    <row r="776" spans="1:13">
      <c r="A776" s="213"/>
      <c r="B776" s="278"/>
      <c r="C776" s="278"/>
      <c r="D776" s="278"/>
      <c r="E776" s="279"/>
      <c r="F776" s="278"/>
      <c r="G776" s="278"/>
      <c r="H776" s="278"/>
      <c r="I776" s="279"/>
      <c r="J776" s="278"/>
      <c r="K776" s="278"/>
      <c r="L776" s="278"/>
      <c r="M776" s="212"/>
    </row>
    <row r="777" spans="1:13">
      <c r="A777" s="213"/>
      <c r="B777" s="278"/>
      <c r="C777" s="278"/>
      <c r="D777" s="278"/>
      <c r="E777" s="279"/>
      <c r="F777" s="278"/>
      <c r="G777" s="278"/>
      <c r="H777" s="278"/>
      <c r="I777" s="279"/>
      <c r="J777" s="278"/>
      <c r="K777" s="278"/>
      <c r="L777" s="278"/>
      <c r="M777" s="212"/>
    </row>
    <row r="778" spans="1:13">
      <c r="A778" s="213"/>
      <c r="B778" s="278"/>
      <c r="C778" s="278"/>
      <c r="D778" s="278"/>
      <c r="E778" s="279"/>
      <c r="F778" s="278"/>
      <c r="G778" s="278"/>
      <c r="H778" s="278"/>
      <c r="I778" s="279"/>
      <c r="J778" s="278"/>
      <c r="K778" s="278"/>
      <c r="L778" s="278"/>
      <c r="M778" s="212"/>
    </row>
    <row r="779" spans="1:13">
      <c r="A779" s="213"/>
      <c r="B779" s="278"/>
      <c r="C779" s="278"/>
      <c r="D779" s="278"/>
      <c r="E779" s="279"/>
      <c r="F779" s="278"/>
      <c r="G779" s="278"/>
      <c r="H779" s="278"/>
      <c r="I779" s="279"/>
      <c r="J779" s="278"/>
      <c r="K779" s="278"/>
      <c r="L779" s="278"/>
      <c r="M779" s="212"/>
    </row>
    <row r="780" spans="1:13">
      <c r="A780" s="213"/>
      <c r="B780" s="278"/>
      <c r="C780" s="278"/>
      <c r="D780" s="278"/>
      <c r="E780" s="279"/>
      <c r="F780" s="278"/>
      <c r="G780" s="278"/>
      <c r="H780" s="278"/>
      <c r="I780" s="279"/>
      <c r="J780" s="278"/>
      <c r="K780" s="278"/>
      <c r="L780" s="278"/>
      <c r="M780" s="212"/>
    </row>
    <row r="781" spans="1:13">
      <c r="A781" s="213"/>
      <c r="B781" s="278"/>
      <c r="C781" s="278"/>
      <c r="D781" s="278"/>
      <c r="E781" s="279"/>
      <c r="F781" s="278"/>
      <c r="G781" s="278"/>
      <c r="H781" s="278"/>
      <c r="I781" s="279"/>
      <c r="J781" s="278"/>
      <c r="K781" s="278"/>
      <c r="L781" s="278"/>
      <c r="M781" s="212"/>
    </row>
    <row r="782" spans="1:13">
      <c r="A782" s="213"/>
      <c r="B782" s="278"/>
      <c r="C782" s="278"/>
      <c r="D782" s="278"/>
      <c r="E782" s="279"/>
      <c r="F782" s="278"/>
      <c r="G782" s="278"/>
      <c r="H782" s="278"/>
      <c r="I782" s="279"/>
      <c r="J782" s="278"/>
      <c r="K782" s="278"/>
      <c r="L782" s="278"/>
      <c r="M782" s="212"/>
    </row>
    <row r="783" spans="1:13">
      <c r="A783" s="213"/>
      <c r="B783" s="278"/>
      <c r="C783" s="278"/>
      <c r="D783" s="278"/>
      <c r="E783" s="279"/>
      <c r="F783" s="278"/>
      <c r="G783" s="278"/>
      <c r="H783" s="278"/>
      <c r="I783" s="279"/>
      <c r="J783" s="278"/>
      <c r="K783" s="278"/>
      <c r="L783" s="278"/>
      <c r="M783" s="212"/>
    </row>
    <row r="784" spans="1:13">
      <c r="A784" s="213"/>
      <c r="B784" s="279"/>
      <c r="C784" s="279"/>
      <c r="D784" s="279"/>
      <c r="E784" s="279"/>
      <c r="F784" s="279"/>
      <c r="G784" s="279"/>
      <c r="H784" s="279"/>
      <c r="I784" s="279"/>
      <c r="J784" s="279"/>
      <c r="K784" s="279"/>
      <c r="L784" s="279"/>
      <c r="M784" s="212"/>
    </row>
    <row r="785" spans="1:13">
      <c r="A785" s="213"/>
      <c r="B785" s="213"/>
      <c r="C785" s="213"/>
      <c r="D785" s="213"/>
      <c r="E785" s="213"/>
      <c r="F785" s="213"/>
      <c r="G785" s="213"/>
      <c r="H785" s="213"/>
      <c r="I785" s="213"/>
      <c r="J785" s="213"/>
      <c r="K785" s="213"/>
      <c r="L785" s="216"/>
      <c r="M785" s="212"/>
    </row>
    <row r="786" spans="1:13">
      <c r="A786" s="213"/>
      <c r="B786" s="213"/>
      <c r="C786" s="213"/>
      <c r="D786" s="213"/>
      <c r="E786" s="213"/>
      <c r="F786" s="213"/>
      <c r="G786" s="213"/>
      <c r="H786" s="213"/>
      <c r="I786" s="213"/>
      <c r="J786" s="213"/>
      <c r="K786" s="213"/>
      <c r="L786" s="260"/>
      <c r="M786" s="212"/>
    </row>
    <row r="787" spans="1:13">
      <c r="A787" s="234"/>
      <c r="B787" s="217"/>
      <c r="C787" s="217"/>
      <c r="D787" s="217"/>
      <c r="E787" s="217"/>
      <c r="F787" s="217"/>
      <c r="G787" s="217"/>
      <c r="H787" s="217"/>
      <c r="I787" s="217"/>
      <c r="J787" s="217"/>
      <c r="K787" s="217"/>
      <c r="L787" s="212"/>
      <c r="M787" s="212"/>
    </row>
    <row r="788" spans="1:13">
      <c r="A788" s="217"/>
      <c r="B788" s="347"/>
      <c r="C788" s="347"/>
      <c r="D788" s="347"/>
      <c r="E788" s="229"/>
      <c r="F788" s="347"/>
      <c r="G788" s="347"/>
      <c r="H788" s="347"/>
      <c r="I788" s="229"/>
      <c r="J788" s="347"/>
      <c r="K788" s="347"/>
      <c r="L788" s="347"/>
      <c r="M788" s="212"/>
    </row>
    <row r="789" spans="1:13">
      <c r="A789" s="234"/>
      <c r="B789" s="235"/>
      <c r="C789" s="235"/>
      <c r="D789" s="235"/>
      <c r="E789" s="235"/>
      <c r="F789" s="235"/>
      <c r="G789" s="235"/>
      <c r="H789" s="235"/>
      <c r="I789" s="235"/>
      <c r="J789" s="235"/>
      <c r="K789" s="235"/>
      <c r="L789" s="235"/>
      <c r="M789" s="212"/>
    </row>
    <row r="790" spans="1:13">
      <c r="A790" s="234"/>
      <c r="B790" s="235"/>
      <c r="C790" s="235"/>
      <c r="D790" s="235"/>
      <c r="E790" s="235"/>
      <c r="F790" s="235"/>
      <c r="G790" s="235"/>
      <c r="H790" s="235"/>
      <c r="I790" s="235"/>
      <c r="J790" s="235"/>
      <c r="K790" s="235"/>
      <c r="L790" s="235"/>
      <c r="M790" s="212"/>
    </row>
    <row r="791" spans="1:13">
      <c r="A791" s="213"/>
      <c r="B791" s="278"/>
      <c r="C791" s="278"/>
      <c r="D791" s="278"/>
      <c r="E791" s="279"/>
      <c r="F791" s="278"/>
      <c r="G791" s="278"/>
      <c r="H791" s="278"/>
      <c r="I791" s="279"/>
      <c r="J791" s="278"/>
      <c r="K791" s="278"/>
      <c r="L791" s="278"/>
      <c r="M791" s="212"/>
    </row>
    <row r="792" spans="1:13">
      <c r="A792" s="213"/>
      <c r="B792" s="278"/>
      <c r="C792" s="278"/>
      <c r="D792" s="278"/>
      <c r="E792" s="279"/>
      <c r="F792" s="278"/>
      <c r="G792" s="278"/>
      <c r="H792" s="278"/>
      <c r="I792" s="279"/>
      <c r="J792" s="278"/>
      <c r="K792" s="278"/>
      <c r="L792" s="278"/>
      <c r="M792" s="212"/>
    </row>
    <row r="793" spans="1:13">
      <c r="A793" s="213"/>
      <c r="B793" s="278"/>
      <c r="C793" s="278"/>
      <c r="D793" s="278"/>
      <c r="E793" s="279"/>
      <c r="F793" s="278"/>
      <c r="G793" s="278"/>
      <c r="H793" s="278"/>
      <c r="I793" s="279"/>
      <c r="J793" s="278"/>
      <c r="K793" s="278"/>
      <c r="L793" s="278"/>
      <c r="M793" s="212"/>
    </row>
    <row r="794" spans="1:13">
      <c r="A794" s="213"/>
      <c r="B794" s="278"/>
      <c r="C794" s="278"/>
      <c r="D794" s="278"/>
      <c r="E794" s="279"/>
      <c r="F794" s="278"/>
      <c r="G794" s="278"/>
      <c r="H794" s="278"/>
      <c r="I794" s="279"/>
      <c r="J794" s="278"/>
      <c r="K794" s="278"/>
      <c r="L794" s="278"/>
      <c r="M794" s="212"/>
    </row>
    <row r="795" spans="1:13">
      <c r="A795" s="213"/>
      <c r="B795" s="278"/>
      <c r="C795" s="278"/>
      <c r="D795" s="278"/>
      <c r="E795" s="279"/>
      <c r="F795" s="278"/>
      <c r="G795" s="278"/>
      <c r="H795" s="278"/>
      <c r="I795" s="279"/>
      <c r="J795" s="278"/>
      <c r="K795" s="278"/>
      <c r="L795" s="278"/>
      <c r="M795" s="212"/>
    </row>
    <row r="796" spans="1:13">
      <c r="A796" s="213"/>
      <c r="B796" s="278"/>
      <c r="C796" s="278"/>
      <c r="D796" s="278"/>
      <c r="E796" s="279"/>
      <c r="F796" s="278"/>
      <c r="G796" s="278"/>
      <c r="H796" s="278"/>
      <c r="I796" s="279"/>
      <c r="J796" s="278"/>
      <c r="K796" s="278"/>
      <c r="L796" s="278"/>
      <c r="M796" s="212"/>
    </row>
    <row r="797" spans="1:13">
      <c r="A797" s="213"/>
      <c r="B797" s="278"/>
      <c r="C797" s="278"/>
      <c r="D797" s="278"/>
      <c r="E797" s="279"/>
      <c r="F797" s="278"/>
      <c r="G797" s="278"/>
      <c r="H797" s="278"/>
      <c r="I797" s="279"/>
      <c r="J797" s="278"/>
      <c r="K797" s="278"/>
      <c r="L797" s="278"/>
      <c r="M797" s="212"/>
    </row>
    <row r="798" spans="1:13">
      <c r="A798" s="213"/>
      <c r="B798" s="278"/>
      <c r="C798" s="278"/>
      <c r="D798" s="278"/>
      <c r="E798" s="279"/>
      <c r="F798" s="278"/>
      <c r="G798" s="278"/>
      <c r="H798" s="278"/>
      <c r="I798" s="279"/>
      <c r="J798" s="278"/>
      <c r="K798" s="278"/>
      <c r="L798" s="278"/>
      <c r="M798" s="212"/>
    </row>
    <row r="799" spans="1:13">
      <c r="A799" s="213"/>
      <c r="B799" s="278"/>
      <c r="C799" s="278"/>
      <c r="D799" s="278"/>
      <c r="E799" s="279"/>
      <c r="F799" s="278"/>
      <c r="G799" s="278"/>
      <c r="H799" s="278"/>
      <c r="I799" s="279"/>
      <c r="J799" s="278"/>
      <c r="K799" s="278"/>
      <c r="L799" s="278"/>
      <c r="M799" s="212"/>
    </row>
    <row r="800" spans="1:13">
      <c r="A800" s="213"/>
      <c r="B800" s="278"/>
      <c r="C800" s="278"/>
      <c r="D800" s="278"/>
      <c r="E800" s="279"/>
      <c r="F800" s="278"/>
      <c r="G800" s="278"/>
      <c r="H800" s="278"/>
      <c r="I800" s="279"/>
      <c r="J800" s="278"/>
      <c r="K800" s="278"/>
      <c r="L800" s="278"/>
      <c r="M800" s="212"/>
    </row>
    <row r="801" spans="1:13">
      <c r="A801" s="213"/>
      <c r="B801" s="279"/>
      <c r="C801" s="279"/>
      <c r="D801" s="279"/>
      <c r="E801" s="279"/>
      <c r="F801" s="279"/>
      <c r="G801" s="279"/>
      <c r="H801" s="279"/>
      <c r="I801" s="279"/>
      <c r="J801" s="279"/>
      <c r="K801" s="279"/>
      <c r="L801" s="279"/>
      <c r="M801" s="212"/>
    </row>
    <row r="802" spans="1:13">
      <c r="A802" s="213"/>
      <c r="B802" s="213"/>
      <c r="C802" s="213"/>
      <c r="D802" s="213"/>
      <c r="E802" s="213"/>
      <c r="F802" s="213"/>
      <c r="G802" s="213"/>
      <c r="H802" s="213"/>
      <c r="I802" s="213"/>
      <c r="J802" s="213"/>
      <c r="K802" s="213"/>
      <c r="L802" s="216"/>
      <c r="M802" s="212"/>
    </row>
    <row r="803" spans="1:13">
      <c r="A803" s="213"/>
      <c r="B803" s="213"/>
      <c r="C803" s="213"/>
      <c r="D803" s="213"/>
      <c r="E803" s="213"/>
      <c r="F803" s="213"/>
      <c r="G803" s="213"/>
      <c r="H803" s="213"/>
      <c r="I803" s="213"/>
      <c r="J803" s="213"/>
      <c r="K803" s="213"/>
      <c r="L803" s="260"/>
      <c r="M803" s="212"/>
    </row>
    <row r="804" spans="1:13">
      <c r="A804" s="234"/>
      <c r="B804" s="217"/>
      <c r="C804" s="217"/>
      <c r="D804" s="217"/>
      <c r="E804" s="217"/>
      <c r="F804" s="217"/>
      <c r="G804" s="217"/>
      <c r="H804" s="217"/>
      <c r="I804" s="217"/>
      <c r="J804" s="217"/>
      <c r="K804" s="217"/>
      <c r="L804" s="212"/>
      <c r="M804" s="212"/>
    </row>
    <row r="805" spans="1:13">
      <c r="A805" s="217"/>
      <c r="B805" s="347"/>
      <c r="C805" s="347"/>
      <c r="D805" s="347"/>
      <c r="E805" s="229"/>
      <c r="F805" s="347"/>
      <c r="G805" s="347"/>
      <c r="H805" s="347"/>
      <c r="I805" s="229"/>
      <c r="J805" s="347"/>
      <c r="K805" s="347"/>
      <c r="L805" s="347"/>
      <c r="M805" s="212"/>
    </row>
    <row r="806" spans="1:13">
      <c r="A806" s="234"/>
      <c r="B806" s="235"/>
      <c r="C806" s="235"/>
      <c r="D806" s="235"/>
      <c r="E806" s="235"/>
      <c r="F806" s="235"/>
      <c r="G806" s="235"/>
      <c r="H806" s="235"/>
      <c r="I806" s="235"/>
      <c r="J806" s="235"/>
      <c r="K806" s="235"/>
      <c r="L806" s="235"/>
      <c r="M806" s="212"/>
    </row>
    <row r="807" spans="1:13">
      <c r="A807" s="234"/>
      <c r="B807" s="235"/>
      <c r="C807" s="235"/>
      <c r="D807" s="235"/>
      <c r="E807" s="235"/>
      <c r="F807" s="235"/>
      <c r="G807" s="235"/>
      <c r="H807" s="235"/>
      <c r="I807" s="235"/>
      <c r="J807" s="235"/>
      <c r="K807" s="235"/>
      <c r="L807" s="235"/>
      <c r="M807" s="212"/>
    </row>
    <row r="808" spans="1:13">
      <c r="A808" s="213"/>
      <c r="B808" s="278"/>
      <c r="C808" s="278"/>
      <c r="D808" s="278"/>
      <c r="E808" s="279"/>
      <c r="F808" s="278"/>
      <c r="G808" s="278"/>
      <c r="H808" s="278"/>
      <c r="I808" s="279"/>
      <c r="J808" s="278"/>
      <c r="K808" s="278"/>
      <c r="L808" s="278"/>
      <c r="M808" s="212"/>
    </row>
    <row r="809" spans="1:13">
      <c r="A809" s="213"/>
      <c r="B809" s="278"/>
      <c r="C809" s="278"/>
      <c r="D809" s="278"/>
      <c r="E809" s="279"/>
      <c r="F809" s="278"/>
      <c r="G809" s="278"/>
      <c r="H809" s="278"/>
      <c r="I809" s="279"/>
      <c r="J809" s="278"/>
      <c r="K809" s="278"/>
      <c r="L809" s="278"/>
      <c r="M809" s="212"/>
    </row>
    <row r="810" spans="1:13">
      <c r="A810" s="213"/>
      <c r="B810" s="278"/>
      <c r="C810" s="278"/>
      <c r="D810" s="278"/>
      <c r="E810" s="279"/>
      <c r="F810" s="278"/>
      <c r="G810" s="278"/>
      <c r="H810" s="278"/>
      <c r="I810" s="279"/>
      <c r="J810" s="278"/>
      <c r="K810" s="278"/>
      <c r="L810" s="278"/>
      <c r="M810" s="212"/>
    </row>
    <row r="811" spans="1:13">
      <c r="A811" s="213"/>
      <c r="B811" s="278"/>
      <c r="C811" s="278"/>
      <c r="D811" s="278"/>
      <c r="E811" s="279"/>
      <c r="F811" s="278"/>
      <c r="G811" s="278"/>
      <c r="H811" s="278"/>
      <c r="I811" s="279"/>
      <c r="J811" s="278"/>
      <c r="K811" s="278"/>
      <c r="L811" s="278"/>
      <c r="M811" s="212"/>
    </row>
    <row r="812" spans="1:13">
      <c r="A812" s="213"/>
      <c r="B812" s="278"/>
      <c r="C812" s="278"/>
      <c r="D812" s="278"/>
      <c r="E812" s="279"/>
      <c r="F812" s="278"/>
      <c r="G812" s="278"/>
      <c r="H812" s="278"/>
      <c r="I812" s="279"/>
      <c r="J812" s="278"/>
      <c r="K812" s="278"/>
      <c r="L812" s="278"/>
      <c r="M812" s="212"/>
    </row>
    <row r="813" spans="1:13">
      <c r="A813" s="213"/>
      <c r="B813" s="278"/>
      <c r="C813" s="278"/>
      <c r="D813" s="278"/>
      <c r="E813" s="279"/>
      <c r="F813" s="278"/>
      <c r="G813" s="278"/>
      <c r="H813" s="278"/>
      <c r="I813" s="279"/>
      <c r="J813" s="278"/>
      <c r="K813" s="278"/>
      <c r="L813" s="278"/>
      <c r="M813" s="212"/>
    </row>
    <row r="814" spans="1:13">
      <c r="A814" s="213"/>
      <c r="B814" s="278"/>
      <c r="C814" s="278"/>
      <c r="D814" s="278"/>
      <c r="E814" s="279"/>
      <c r="F814" s="278"/>
      <c r="G814" s="278"/>
      <c r="H814" s="278"/>
      <c r="I814" s="279"/>
      <c r="J814" s="278"/>
      <c r="K814" s="278"/>
      <c r="L814" s="278"/>
      <c r="M814" s="212"/>
    </row>
    <row r="815" spans="1:13">
      <c r="A815" s="213"/>
      <c r="B815" s="278"/>
      <c r="C815" s="278"/>
      <c r="D815" s="278"/>
      <c r="E815" s="279"/>
      <c r="F815" s="278"/>
      <c r="G815" s="278"/>
      <c r="H815" s="278"/>
      <c r="I815" s="279"/>
      <c r="J815" s="278"/>
      <c r="K815" s="278"/>
      <c r="L815" s="278"/>
      <c r="M815" s="212"/>
    </row>
    <row r="816" spans="1:13">
      <c r="A816" s="213"/>
      <c r="B816" s="278"/>
      <c r="C816" s="278"/>
      <c r="D816" s="278"/>
      <c r="E816" s="279"/>
      <c r="F816" s="278"/>
      <c r="G816" s="278"/>
      <c r="H816" s="278"/>
      <c r="I816" s="279"/>
      <c r="J816" s="278"/>
      <c r="K816" s="278"/>
      <c r="L816" s="278"/>
      <c r="M816" s="212"/>
    </row>
    <row r="817" spans="1:13">
      <c r="A817" s="213"/>
      <c r="B817" s="278"/>
      <c r="C817" s="278"/>
      <c r="D817" s="278"/>
      <c r="E817" s="279"/>
      <c r="F817" s="278"/>
      <c r="G817" s="278"/>
      <c r="H817" s="278"/>
      <c r="I817" s="279"/>
      <c r="J817" s="278"/>
      <c r="K817" s="278"/>
      <c r="L817" s="278"/>
      <c r="M817" s="212"/>
    </row>
    <row r="818" spans="1:13">
      <c r="A818" s="213"/>
      <c r="B818" s="279"/>
      <c r="C818" s="279"/>
      <c r="D818" s="279"/>
      <c r="E818" s="279"/>
      <c r="F818" s="279"/>
      <c r="G818" s="279"/>
      <c r="H818" s="279"/>
      <c r="I818" s="279"/>
      <c r="J818" s="279"/>
      <c r="K818" s="279"/>
      <c r="L818" s="279"/>
      <c r="M818" s="212"/>
    </row>
    <row r="819" spans="1:13">
      <c r="A819" s="213"/>
      <c r="B819" s="213"/>
      <c r="C819" s="213"/>
      <c r="D819" s="213"/>
      <c r="E819" s="213"/>
      <c r="F819" s="213"/>
      <c r="G819" s="213"/>
      <c r="H819" s="213"/>
      <c r="I819" s="213"/>
      <c r="J819" s="213"/>
      <c r="K819" s="213"/>
      <c r="L819" s="216"/>
      <c r="M819" s="212"/>
    </row>
    <row r="820" spans="1:13">
      <c r="A820" s="213"/>
      <c r="B820" s="213"/>
      <c r="C820" s="213"/>
      <c r="D820" s="213"/>
      <c r="E820" s="213"/>
      <c r="F820" s="213"/>
      <c r="G820" s="213"/>
      <c r="H820" s="213"/>
      <c r="I820" s="213"/>
      <c r="J820" s="213"/>
      <c r="K820" s="213"/>
      <c r="L820" s="260"/>
      <c r="M820" s="212"/>
    </row>
    <row r="821" spans="1:13">
      <c r="A821" s="234"/>
      <c r="B821" s="217"/>
      <c r="C821" s="217"/>
      <c r="D821" s="217"/>
      <c r="E821" s="217"/>
      <c r="F821" s="217"/>
      <c r="G821" s="217"/>
      <c r="H821" s="217"/>
      <c r="I821" s="217"/>
      <c r="J821" s="217"/>
      <c r="K821" s="217"/>
      <c r="L821" s="212"/>
      <c r="M821" s="212"/>
    </row>
    <row r="822" spans="1:13">
      <c r="A822" s="217"/>
      <c r="B822" s="347"/>
      <c r="C822" s="347"/>
      <c r="D822" s="347"/>
      <c r="E822" s="229"/>
      <c r="F822" s="347"/>
      <c r="G822" s="347"/>
      <c r="H822" s="347"/>
      <c r="I822" s="229"/>
      <c r="J822" s="347"/>
      <c r="K822" s="347"/>
      <c r="L822" s="347"/>
      <c r="M822" s="212"/>
    </row>
    <row r="823" spans="1:13">
      <c r="A823" s="234"/>
      <c r="B823" s="235"/>
      <c r="C823" s="235"/>
      <c r="D823" s="235"/>
      <c r="E823" s="235"/>
      <c r="F823" s="235"/>
      <c r="G823" s="235"/>
      <c r="H823" s="235"/>
      <c r="I823" s="235"/>
      <c r="J823" s="235"/>
      <c r="K823" s="235"/>
      <c r="L823" s="235"/>
      <c r="M823" s="212"/>
    </row>
    <row r="824" spans="1:13">
      <c r="A824" s="234"/>
      <c r="B824" s="235"/>
      <c r="C824" s="235"/>
      <c r="D824" s="235"/>
      <c r="E824" s="235"/>
      <c r="F824" s="235"/>
      <c r="G824" s="235"/>
      <c r="H824" s="235"/>
      <c r="I824" s="235"/>
      <c r="J824" s="235"/>
      <c r="K824" s="235"/>
      <c r="L824" s="235"/>
      <c r="M824" s="212"/>
    </row>
    <row r="825" spans="1:13">
      <c r="A825" s="213"/>
      <c r="B825" s="278"/>
      <c r="C825" s="278"/>
      <c r="D825" s="278"/>
      <c r="E825" s="279"/>
      <c r="F825" s="278"/>
      <c r="G825" s="278"/>
      <c r="H825" s="278"/>
      <c r="I825" s="279"/>
      <c r="J825" s="278"/>
      <c r="K825" s="278"/>
      <c r="L825" s="278"/>
      <c r="M825" s="212"/>
    </row>
    <row r="826" spans="1:13">
      <c r="A826" s="213"/>
      <c r="B826" s="278"/>
      <c r="C826" s="278"/>
      <c r="D826" s="278"/>
      <c r="E826" s="279"/>
      <c r="F826" s="278"/>
      <c r="G826" s="278"/>
      <c r="H826" s="278"/>
      <c r="I826" s="279"/>
      <c r="J826" s="278"/>
      <c r="K826" s="278"/>
      <c r="L826" s="278"/>
      <c r="M826" s="212"/>
    </row>
    <row r="827" spans="1:13">
      <c r="A827" s="213"/>
      <c r="B827" s="278"/>
      <c r="C827" s="278"/>
      <c r="D827" s="278"/>
      <c r="E827" s="279"/>
      <c r="F827" s="278"/>
      <c r="G827" s="278"/>
      <c r="H827" s="278"/>
      <c r="I827" s="279"/>
      <c r="J827" s="278"/>
      <c r="K827" s="278"/>
      <c r="L827" s="278"/>
      <c r="M827" s="212"/>
    </row>
    <row r="828" spans="1:13">
      <c r="A828" s="213"/>
      <c r="B828" s="278"/>
      <c r="C828" s="278"/>
      <c r="D828" s="278"/>
      <c r="E828" s="279"/>
      <c r="F828" s="278"/>
      <c r="G828" s="278"/>
      <c r="H828" s="278"/>
      <c r="I828" s="279"/>
      <c r="J828" s="278"/>
      <c r="K828" s="278"/>
      <c r="L828" s="278"/>
      <c r="M828" s="212"/>
    </row>
    <row r="829" spans="1:13">
      <c r="A829" s="213"/>
      <c r="B829" s="278"/>
      <c r="C829" s="278"/>
      <c r="D829" s="278"/>
      <c r="E829" s="279"/>
      <c r="F829" s="278"/>
      <c r="G829" s="278"/>
      <c r="H829" s="278"/>
      <c r="I829" s="279"/>
      <c r="J829" s="278"/>
      <c r="K829" s="278"/>
      <c r="L829" s="278"/>
      <c r="M829" s="212"/>
    </row>
    <row r="830" spans="1:13">
      <c r="A830" s="213"/>
      <c r="B830" s="278"/>
      <c r="C830" s="278"/>
      <c r="D830" s="278"/>
      <c r="E830" s="279"/>
      <c r="F830" s="278"/>
      <c r="G830" s="278"/>
      <c r="H830" s="278"/>
      <c r="I830" s="279"/>
      <c r="J830" s="278"/>
      <c r="K830" s="278"/>
      <c r="L830" s="278"/>
      <c r="M830" s="212"/>
    </row>
    <row r="831" spans="1:13">
      <c r="A831" s="213"/>
      <c r="B831" s="278"/>
      <c r="C831" s="278"/>
      <c r="D831" s="278"/>
      <c r="E831" s="279"/>
      <c r="F831" s="278"/>
      <c r="G831" s="278"/>
      <c r="H831" s="278"/>
      <c r="I831" s="279"/>
      <c r="J831" s="278"/>
      <c r="K831" s="278"/>
      <c r="L831" s="278"/>
      <c r="M831" s="212"/>
    </row>
    <row r="832" spans="1:13">
      <c r="A832" s="213"/>
      <c r="B832" s="278"/>
      <c r="C832" s="278"/>
      <c r="D832" s="278"/>
      <c r="E832" s="279"/>
      <c r="F832" s="278"/>
      <c r="G832" s="278"/>
      <c r="H832" s="278"/>
      <c r="I832" s="279"/>
      <c r="J832" s="278"/>
      <c r="K832" s="278"/>
      <c r="L832" s="278"/>
      <c r="M832" s="212"/>
    </row>
    <row r="833" spans="1:13">
      <c r="A833" s="213"/>
      <c r="B833" s="278"/>
      <c r="C833" s="278"/>
      <c r="D833" s="278"/>
      <c r="E833" s="279"/>
      <c r="F833" s="278"/>
      <c r="G833" s="278"/>
      <c r="H833" s="278"/>
      <c r="I833" s="279"/>
      <c r="J833" s="278"/>
      <c r="K833" s="278"/>
      <c r="L833" s="278"/>
      <c r="M833" s="212"/>
    </row>
    <row r="834" spans="1:13">
      <c r="A834" s="213"/>
      <c r="B834" s="278"/>
      <c r="C834" s="278"/>
      <c r="D834" s="278"/>
      <c r="E834" s="279"/>
      <c r="F834" s="278"/>
      <c r="G834" s="278"/>
      <c r="H834" s="278"/>
      <c r="I834" s="279"/>
      <c r="J834" s="278"/>
      <c r="K834" s="278"/>
      <c r="L834" s="278"/>
      <c r="M834" s="212"/>
    </row>
    <row r="835" spans="1:13">
      <c r="A835" s="213"/>
      <c r="B835" s="279"/>
      <c r="C835" s="279"/>
      <c r="D835" s="279"/>
      <c r="E835" s="279"/>
      <c r="F835" s="279"/>
      <c r="G835" s="279"/>
      <c r="H835" s="279"/>
      <c r="I835" s="279"/>
      <c r="J835" s="279"/>
      <c r="K835" s="279"/>
      <c r="L835" s="279"/>
      <c r="M835" s="212"/>
    </row>
    <row r="836" spans="1:13">
      <c r="A836" s="213"/>
      <c r="B836" s="213"/>
      <c r="C836" s="213"/>
      <c r="D836" s="213"/>
      <c r="E836" s="213"/>
      <c r="F836" s="213"/>
      <c r="G836" s="213"/>
      <c r="H836" s="213"/>
      <c r="I836" s="213"/>
      <c r="J836" s="213"/>
      <c r="K836" s="213"/>
      <c r="L836" s="216"/>
      <c r="M836" s="212"/>
    </row>
    <row r="837" spans="1:13">
      <c r="A837" s="213"/>
      <c r="B837" s="213"/>
      <c r="C837" s="213"/>
      <c r="D837" s="213"/>
      <c r="E837" s="213"/>
      <c r="F837" s="213"/>
      <c r="G837" s="213"/>
      <c r="H837" s="213"/>
      <c r="I837" s="213"/>
      <c r="J837" s="213"/>
      <c r="K837" s="213"/>
      <c r="L837" s="260"/>
      <c r="M837" s="212"/>
    </row>
    <row r="838" spans="1:13">
      <c r="A838" s="234"/>
      <c r="B838" s="217"/>
      <c r="C838" s="217"/>
      <c r="D838" s="217"/>
      <c r="E838" s="217"/>
      <c r="F838" s="217"/>
      <c r="G838" s="217"/>
      <c r="H838" s="217"/>
      <c r="I838" s="217"/>
      <c r="J838" s="217"/>
      <c r="K838" s="217"/>
      <c r="L838" s="212"/>
      <c r="M838" s="212"/>
    </row>
    <row r="839" spans="1:13">
      <c r="A839" s="217"/>
      <c r="B839" s="347"/>
      <c r="C839" s="347"/>
      <c r="D839" s="347"/>
      <c r="E839" s="229"/>
      <c r="F839" s="347"/>
      <c r="G839" s="347"/>
      <c r="H839" s="347"/>
      <c r="I839" s="229"/>
      <c r="J839" s="347"/>
      <c r="K839" s="347"/>
      <c r="L839" s="347"/>
      <c r="M839" s="212"/>
    </row>
    <row r="840" spans="1:13">
      <c r="A840" s="234"/>
      <c r="B840" s="235"/>
      <c r="C840" s="235"/>
      <c r="D840" s="235"/>
      <c r="E840" s="235"/>
      <c r="F840" s="235"/>
      <c r="G840" s="235"/>
      <c r="H840" s="235"/>
      <c r="I840" s="235"/>
      <c r="J840" s="235"/>
      <c r="K840" s="235"/>
      <c r="L840" s="235"/>
      <c r="M840" s="212"/>
    </row>
    <row r="841" spans="1:13">
      <c r="A841" s="234"/>
      <c r="B841" s="235"/>
      <c r="C841" s="235"/>
      <c r="D841" s="235"/>
      <c r="E841" s="235"/>
      <c r="F841" s="235"/>
      <c r="G841" s="235"/>
      <c r="H841" s="235"/>
      <c r="I841" s="235"/>
      <c r="J841" s="235"/>
      <c r="K841" s="235"/>
      <c r="L841" s="235"/>
      <c r="M841" s="212"/>
    </row>
    <row r="842" spans="1:13">
      <c r="A842" s="213"/>
      <c r="B842" s="278"/>
      <c r="C842" s="278"/>
      <c r="D842" s="278"/>
      <c r="E842" s="279"/>
      <c r="F842" s="278"/>
      <c r="G842" s="278"/>
      <c r="H842" s="278"/>
      <c r="I842" s="279"/>
      <c r="J842" s="278"/>
      <c r="K842" s="278"/>
      <c r="L842" s="278"/>
      <c r="M842" s="212"/>
    </row>
    <row r="843" spans="1:13">
      <c r="A843" s="213"/>
      <c r="B843" s="278"/>
      <c r="C843" s="278"/>
      <c r="D843" s="278"/>
      <c r="E843" s="279"/>
      <c r="F843" s="278"/>
      <c r="G843" s="278"/>
      <c r="H843" s="278"/>
      <c r="I843" s="279"/>
      <c r="J843" s="278"/>
      <c r="K843" s="278"/>
      <c r="L843" s="278"/>
      <c r="M843" s="212"/>
    </row>
    <row r="844" spans="1:13">
      <c r="A844" s="213"/>
      <c r="B844" s="278"/>
      <c r="C844" s="278"/>
      <c r="D844" s="278"/>
      <c r="E844" s="279"/>
      <c r="F844" s="278"/>
      <c r="G844" s="278"/>
      <c r="H844" s="278"/>
      <c r="I844" s="279"/>
      <c r="J844" s="278"/>
      <c r="K844" s="278"/>
      <c r="L844" s="278"/>
      <c r="M844" s="212"/>
    </row>
    <row r="845" spans="1:13">
      <c r="A845" s="213"/>
      <c r="B845" s="278"/>
      <c r="C845" s="278"/>
      <c r="D845" s="278"/>
      <c r="E845" s="279"/>
      <c r="F845" s="278"/>
      <c r="G845" s="278"/>
      <c r="H845" s="278"/>
      <c r="I845" s="279"/>
      <c r="J845" s="278"/>
      <c r="K845" s="278"/>
      <c r="L845" s="278"/>
      <c r="M845" s="212"/>
    </row>
    <row r="846" spans="1:13">
      <c r="A846" s="213"/>
      <c r="B846" s="278"/>
      <c r="C846" s="278"/>
      <c r="D846" s="278"/>
      <c r="E846" s="279"/>
      <c r="F846" s="278"/>
      <c r="G846" s="278"/>
      <c r="H846" s="278"/>
      <c r="I846" s="279"/>
      <c r="J846" s="278"/>
      <c r="K846" s="278"/>
      <c r="L846" s="278"/>
      <c r="M846" s="212"/>
    </row>
    <row r="847" spans="1:13">
      <c r="A847" s="213"/>
      <c r="B847" s="278"/>
      <c r="C847" s="278"/>
      <c r="D847" s="278"/>
      <c r="E847" s="279"/>
      <c r="F847" s="278"/>
      <c r="G847" s="278"/>
      <c r="H847" s="278"/>
      <c r="I847" s="279"/>
      <c r="J847" s="278"/>
      <c r="K847" s="278"/>
      <c r="L847" s="278"/>
      <c r="M847" s="212"/>
    </row>
    <row r="848" spans="1:13">
      <c r="A848" s="213"/>
      <c r="B848" s="278"/>
      <c r="C848" s="278"/>
      <c r="D848" s="278"/>
      <c r="E848" s="279"/>
      <c r="F848" s="278"/>
      <c r="G848" s="278"/>
      <c r="H848" s="278"/>
      <c r="I848" s="279"/>
      <c r="J848" s="278"/>
      <c r="K848" s="278"/>
      <c r="L848" s="278"/>
      <c r="M848" s="212"/>
    </row>
    <row r="849" spans="1:13">
      <c r="A849" s="213"/>
      <c r="B849" s="278"/>
      <c r="C849" s="278"/>
      <c r="D849" s="278"/>
      <c r="E849" s="279"/>
      <c r="F849" s="278"/>
      <c r="G849" s="278"/>
      <c r="H849" s="278"/>
      <c r="I849" s="279"/>
      <c r="J849" s="278"/>
      <c r="K849" s="278"/>
      <c r="L849" s="278"/>
      <c r="M849" s="212"/>
    </row>
    <row r="850" spans="1:13">
      <c r="A850" s="213"/>
      <c r="B850" s="278"/>
      <c r="C850" s="278"/>
      <c r="D850" s="278"/>
      <c r="E850" s="279"/>
      <c r="F850" s="278"/>
      <c r="G850" s="278"/>
      <c r="H850" s="278"/>
      <c r="I850" s="279"/>
      <c r="J850" s="278"/>
      <c r="K850" s="278"/>
      <c r="L850" s="278"/>
      <c r="M850" s="212"/>
    </row>
    <row r="851" spans="1:13">
      <c r="A851" s="213"/>
      <c r="B851" s="278"/>
      <c r="C851" s="278"/>
      <c r="D851" s="278"/>
      <c r="E851" s="279"/>
      <c r="F851" s="278"/>
      <c r="G851" s="278"/>
      <c r="H851" s="278"/>
      <c r="I851" s="279"/>
      <c r="J851" s="278"/>
      <c r="K851" s="278"/>
      <c r="L851" s="278"/>
      <c r="M851" s="212"/>
    </row>
    <row r="852" spans="1:13">
      <c r="A852" s="213"/>
      <c r="B852" s="279"/>
      <c r="C852" s="279"/>
      <c r="D852" s="279"/>
      <c r="E852" s="279"/>
      <c r="F852" s="279"/>
      <c r="G852" s="279"/>
      <c r="H852" s="279"/>
      <c r="I852" s="279"/>
      <c r="J852" s="279"/>
      <c r="K852" s="279"/>
      <c r="L852" s="279"/>
      <c r="M852" s="212"/>
    </row>
    <row r="853" spans="1:13">
      <c r="A853" s="213"/>
      <c r="B853" s="213"/>
      <c r="C853" s="213"/>
      <c r="D853" s="213"/>
      <c r="E853" s="213"/>
      <c r="F853" s="213"/>
      <c r="G853" s="213"/>
      <c r="H853" s="213"/>
      <c r="I853" s="213"/>
      <c r="J853" s="213"/>
      <c r="K853" s="213"/>
      <c r="L853" s="216"/>
      <c r="M853" s="212"/>
    </row>
    <row r="854" spans="1:13">
      <c r="A854" s="213"/>
      <c r="B854" s="213"/>
      <c r="C854" s="213"/>
      <c r="D854" s="213"/>
      <c r="E854" s="213"/>
      <c r="F854" s="213"/>
      <c r="G854" s="213"/>
      <c r="H854" s="213"/>
      <c r="I854" s="213"/>
      <c r="J854" s="213"/>
      <c r="K854" s="213"/>
      <c r="L854" s="260"/>
      <c r="M854" s="212"/>
    </row>
    <row r="855" spans="1:13">
      <c r="A855" s="234"/>
      <c r="B855" s="217"/>
      <c r="C855" s="217"/>
      <c r="D855" s="217"/>
      <c r="E855" s="217"/>
      <c r="F855" s="217"/>
      <c r="G855" s="217"/>
      <c r="H855" s="217"/>
      <c r="I855" s="217"/>
      <c r="J855" s="217"/>
      <c r="K855" s="217"/>
      <c r="L855" s="212"/>
      <c r="M855" s="212"/>
    </row>
    <row r="856" spans="1:13">
      <c r="A856" s="217"/>
      <c r="B856" s="347"/>
      <c r="C856" s="347"/>
      <c r="D856" s="347"/>
      <c r="E856" s="229"/>
      <c r="F856" s="347"/>
      <c r="G856" s="347"/>
      <c r="H856" s="347"/>
      <c r="I856" s="229"/>
      <c r="J856" s="347"/>
      <c r="K856" s="347"/>
      <c r="L856" s="347"/>
      <c r="M856" s="212"/>
    </row>
    <row r="857" spans="1:13">
      <c r="A857" s="234"/>
      <c r="B857" s="235"/>
      <c r="C857" s="235"/>
      <c r="D857" s="235"/>
      <c r="E857" s="235"/>
      <c r="F857" s="235"/>
      <c r="G857" s="235"/>
      <c r="H857" s="235"/>
      <c r="I857" s="235"/>
      <c r="J857" s="235"/>
      <c r="K857" s="235"/>
      <c r="L857" s="235"/>
      <c r="M857" s="212"/>
    </row>
    <row r="858" spans="1:13">
      <c r="A858" s="234"/>
      <c r="B858" s="235"/>
      <c r="C858" s="235"/>
      <c r="D858" s="235"/>
      <c r="E858" s="235"/>
      <c r="F858" s="235"/>
      <c r="G858" s="235"/>
      <c r="H858" s="235"/>
      <c r="I858" s="235"/>
      <c r="J858" s="235"/>
      <c r="K858" s="235"/>
      <c r="L858" s="235"/>
      <c r="M858" s="212"/>
    </row>
    <row r="859" spans="1:13">
      <c r="A859" s="213"/>
      <c r="B859" s="278"/>
      <c r="C859" s="278"/>
      <c r="D859" s="278"/>
      <c r="E859" s="279"/>
      <c r="F859" s="278"/>
      <c r="G859" s="278"/>
      <c r="H859" s="278"/>
      <c r="I859" s="279"/>
      <c r="J859" s="278"/>
      <c r="K859" s="278"/>
      <c r="L859" s="278"/>
      <c r="M859" s="212"/>
    </row>
    <row r="860" spans="1:13">
      <c r="A860" s="213"/>
      <c r="B860" s="278"/>
      <c r="C860" s="278"/>
      <c r="D860" s="278"/>
      <c r="E860" s="279"/>
      <c r="F860" s="278"/>
      <c r="G860" s="278"/>
      <c r="H860" s="278"/>
      <c r="I860" s="279"/>
      <c r="J860" s="278"/>
      <c r="K860" s="278"/>
      <c r="L860" s="278"/>
      <c r="M860" s="212"/>
    </row>
    <row r="861" spans="1:13">
      <c r="A861" s="213"/>
      <c r="B861" s="278"/>
      <c r="C861" s="278"/>
      <c r="D861" s="278"/>
      <c r="E861" s="279"/>
      <c r="F861" s="278"/>
      <c r="G861" s="278"/>
      <c r="H861" s="278"/>
      <c r="I861" s="279"/>
      <c r="J861" s="278"/>
      <c r="K861" s="278"/>
      <c r="L861" s="278"/>
      <c r="M861" s="212"/>
    </row>
    <row r="862" spans="1:13">
      <c r="A862" s="213"/>
      <c r="B862" s="278"/>
      <c r="C862" s="278"/>
      <c r="D862" s="278"/>
      <c r="E862" s="279"/>
      <c r="F862" s="278"/>
      <c r="G862" s="278"/>
      <c r="H862" s="278"/>
      <c r="I862" s="279"/>
      <c r="J862" s="278"/>
      <c r="K862" s="278"/>
      <c r="L862" s="278"/>
      <c r="M862" s="212"/>
    </row>
    <row r="863" spans="1:13">
      <c r="A863" s="213"/>
      <c r="B863" s="278"/>
      <c r="C863" s="278"/>
      <c r="D863" s="278"/>
      <c r="E863" s="279"/>
      <c r="F863" s="278"/>
      <c r="G863" s="278"/>
      <c r="H863" s="278"/>
      <c r="I863" s="279"/>
      <c r="J863" s="278"/>
      <c r="K863" s="278"/>
      <c r="L863" s="278"/>
      <c r="M863" s="212"/>
    </row>
    <row r="864" spans="1:13">
      <c r="A864" s="213"/>
      <c r="B864" s="278"/>
      <c r="C864" s="278"/>
      <c r="D864" s="278"/>
      <c r="E864" s="279"/>
      <c r="F864" s="278"/>
      <c r="G864" s="278"/>
      <c r="H864" s="278"/>
      <c r="I864" s="279"/>
      <c r="J864" s="278"/>
      <c r="K864" s="278"/>
      <c r="L864" s="278"/>
      <c r="M864" s="212"/>
    </row>
    <row r="865" spans="1:13">
      <c r="A865" s="213"/>
      <c r="B865" s="278"/>
      <c r="C865" s="278"/>
      <c r="D865" s="278"/>
      <c r="E865" s="279"/>
      <c r="F865" s="278"/>
      <c r="G865" s="278"/>
      <c r="H865" s="278"/>
      <c r="I865" s="279"/>
      <c r="J865" s="278"/>
      <c r="K865" s="278"/>
      <c r="L865" s="278"/>
      <c r="M865" s="212"/>
    </row>
    <row r="866" spans="1:13">
      <c r="A866" s="213"/>
      <c r="B866" s="278"/>
      <c r="C866" s="278"/>
      <c r="D866" s="278"/>
      <c r="E866" s="279"/>
      <c r="F866" s="278"/>
      <c r="G866" s="278"/>
      <c r="H866" s="278"/>
      <c r="I866" s="279"/>
      <c r="J866" s="278"/>
      <c r="K866" s="278"/>
      <c r="L866" s="278"/>
      <c r="M866" s="212"/>
    </row>
    <row r="867" spans="1:13">
      <c r="A867" s="213"/>
      <c r="B867" s="278"/>
      <c r="C867" s="278"/>
      <c r="D867" s="278"/>
      <c r="E867" s="279"/>
      <c r="F867" s="278"/>
      <c r="G867" s="278"/>
      <c r="H867" s="278"/>
      <c r="I867" s="279"/>
      <c r="J867" s="278"/>
      <c r="K867" s="278"/>
      <c r="L867" s="278"/>
      <c r="M867" s="212"/>
    </row>
    <row r="868" spans="1:13">
      <c r="A868" s="213"/>
      <c r="B868" s="278"/>
      <c r="C868" s="278"/>
      <c r="D868" s="278"/>
      <c r="E868" s="279"/>
      <c r="F868" s="278"/>
      <c r="G868" s="278"/>
      <c r="H868" s="278"/>
      <c r="I868" s="279"/>
      <c r="J868" s="278"/>
      <c r="K868" s="278"/>
      <c r="L868" s="278"/>
      <c r="M868" s="212"/>
    </row>
    <row r="869" spans="1:13">
      <c r="A869" s="213"/>
      <c r="B869" s="279"/>
      <c r="C869" s="279"/>
      <c r="D869" s="279"/>
      <c r="E869" s="279"/>
      <c r="F869" s="279"/>
      <c r="G869" s="279"/>
      <c r="H869" s="279"/>
      <c r="I869" s="279"/>
      <c r="J869" s="279"/>
      <c r="K869" s="279"/>
      <c r="L869" s="279"/>
      <c r="M869" s="212"/>
    </row>
    <row r="870" spans="1:13">
      <c r="A870" s="213"/>
      <c r="B870" s="213"/>
      <c r="C870" s="213"/>
      <c r="D870" s="213"/>
      <c r="E870" s="213"/>
      <c r="F870" s="213"/>
      <c r="G870" s="213"/>
      <c r="H870" s="213"/>
      <c r="I870" s="213"/>
      <c r="J870" s="213"/>
      <c r="K870" s="213"/>
      <c r="L870" s="216"/>
      <c r="M870" s="212"/>
    </row>
    <row r="871" spans="1:13">
      <c r="A871" s="213"/>
      <c r="B871" s="213"/>
      <c r="C871" s="213"/>
      <c r="D871" s="213"/>
      <c r="E871" s="213"/>
      <c r="F871" s="213"/>
      <c r="G871" s="213"/>
      <c r="H871" s="213"/>
      <c r="I871" s="213"/>
      <c r="J871" s="213"/>
      <c r="K871" s="213"/>
      <c r="L871" s="260"/>
      <c r="M871" s="212"/>
    </row>
    <row r="872" spans="1:13">
      <c r="A872" s="234"/>
      <c r="B872" s="217"/>
      <c r="C872" s="217"/>
      <c r="D872" s="217"/>
      <c r="E872" s="217"/>
      <c r="F872" s="217"/>
      <c r="G872" s="217"/>
      <c r="H872" s="217"/>
      <c r="I872" s="217"/>
      <c r="J872" s="217"/>
      <c r="K872" s="217"/>
      <c r="L872" s="212"/>
      <c r="M872" s="212"/>
    </row>
    <row r="873" spans="1:13">
      <c r="A873" s="217"/>
      <c r="B873" s="347"/>
      <c r="C873" s="347"/>
      <c r="D873" s="347"/>
      <c r="E873" s="229"/>
      <c r="F873" s="347"/>
      <c r="G873" s="347"/>
      <c r="H873" s="347"/>
      <c r="I873" s="229"/>
      <c r="J873" s="347"/>
      <c r="K873" s="347"/>
      <c r="L873" s="347"/>
      <c r="M873" s="212"/>
    </row>
    <row r="874" spans="1:13">
      <c r="A874" s="234"/>
      <c r="B874" s="235"/>
      <c r="C874" s="235"/>
      <c r="D874" s="235"/>
      <c r="E874" s="235"/>
      <c r="F874" s="235"/>
      <c r="G874" s="235"/>
      <c r="H874" s="235"/>
      <c r="I874" s="235"/>
      <c r="J874" s="235"/>
      <c r="K874" s="235"/>
      <c r="L874" s="235"/>
      <c r="M874" s="212"/>
    </row>
    <row r="875" spans="1:13">
      <c r="A875" s="234"/>
      <c r="B875" s="235"/>
      <c r="C875" s="235"/>
      <c r="D875" s="235"/>
      <c r="E875" s="235"/>
      <c r="F875" s="235"/>
      <c r="G875" s="235"/>
      <c r="H875" s="235"/>
      <c r="I875" s="235"/>
      <c r="J875" s="235"/>
      <c r="K875" s="235"/>
      <c r="L875" s="235"/>
      <c r="M875" s="212"/>
    </row>
    <row r="876" spans="1:13">
      <c r="A876" s="213"/>
      <c r="B876" s="278"/>
      <c r="C876" s="278"/>
      <c r="D876" s="278"/>
      <c r="E876" s="279"/>
      <c r="F876" s="278"/>
      <c r="G876" s="278"/>
      <c r="H876" s="278"/>
      <c r="I876" s="279"/>
      <c r="J876" s="278"/>
      <c r="K876" s="278"/>
      <c r="L876" s="278"/>
      <c r="M876" s="212"/>
    </row>
    <row r="877" spans="1:13">
      <c r="A877" s="213"/>
      <c r="B877" s="278"/>
      <c r="C877" s="278"/>
      <c r="D877" s="278"/>
      <c r="E877" s="279"/>
      <c r="F877" s="278"/>
      <c r="G877" s="278"/>
      <c r="H877" s="278"/>
      <c r="I877" s="279"/>
      <c r="J877" s="278"/>
      <c r="K877" s="278"/>
      <c r="L877" s="278"/>
      <c r="M877" s="212"/>
    </row>
    <row r="878" spans="1:13">
      <c r="A878" s="213"/>
      <c r="B878" s="278"/>
      <c r="C878" s="278"/>
      <c r="D878" s="278"/>
      <c r="E878" s="279"/>
      <c r="F878" s="278"/>
      <c r="G878" s="278"/>
      <c r="H878" s="278"/>
      <c r="I878" s="279"/>
      <c r="J878" s="278"/>
      <c r="K878" s="278"/>
      <c r="L878" s="278"/>
      <c r="M878" s="212"/>
    </row>
    <row r="879" spans="1:13">
      <c r="A879" s="213"/>
      <c r="B879" s="278"/>
      <c r="C879" s="278"/>
      <c r="D879" s="278"/>
      <c r="E879" s="279"/>
      <c r="F879" s="278"/>
      <c r="G879" s="278"/>
      <c r="H879" s="278"/>
      <c r="I879" s="279"/>
      <c r="J879" s="278"/>
      <c r="K879" s="278"/>
      <c r="L879" s="278"/>
      <c r="M879" s="212"/>
    </row>
    <row r="880" spans="1:13">
      <c r="A880" s="213"/>
      <c r="B880" s="278"/>
      <c r="C880" s="278"/>
      <c r="D880" s="278"/>
      <c r="E880" s="279"/>
      <c r="F880" s="278"/>
      <c r="G880" s="278"/>
      <c r="H880" s="278"/>
      <c r="I880" s="279"/>
      <c r="J880" s="278"/>
      <c r="K880" s="278"/>
      <c r="L880" s="278"/>
      <c r="M880" s="212"/>
    </row>
    <row r="881" spans="1:13">
      <c r="A881" s="213"/>
      <c r="B881" s="278"/>
      <c r="C881" s="278"/>
      <c r="D881" s="278"/>
      <c r="E881" s="279"/>
      <c r="F881" s="278"/>
      <c r="G881" s="278"/>
      <c r="H881" s="278"/>
      <c r="I881" s="279"/>
      <c r="J881" s="278"/>
      <c r="K881" s="278"/>
      <c r="L881" s="278"/>
      <c r="M881" s="212"/>
    </row>
    <row r="882" spans="1:13">
      <c r="A882" s="213"/>
      <c r="B882" s="278"/>
      <c r="C882" s="278"/>
      <c r="D882" s="278"/>
      <c r="E882" s="279"/>
      <c r="F882" s="278"/>
      <c r="G882" s="278"/>
      <c r="H882" s="278"/>
      <c r="I882" s="279"/>
      <c r="J882" s="278"/>
      <c r="K882" s="278"/>
      <c r="L882" s="278"/>
      <c r="M882" s="212"/>
    </row>
    <row r="883" spans="1:13">
      <c r="A883" s="213"/>
      <c r="B883" s="278"/>
      <c r="C883" s="278"/>
      <c r="D883" s="278"/>
      <c r="E883" s="279"/>
      <c r="F883" s="278"/>
      <c r="G883" s="278"/>
      <c r="H883" s="278"/>
      <c r="I883" s="279"/>
      <c r="J883" s="278"/>
      <c r="K883" s="278"/>
      <c r="L883" s="278"/>
      <c r="M883" s="212"/>
    </row>
    <row r="884" spans="1:13">
      <c r="A884" s="213"/>
      <c r="B884" s="278"/>
      <c r="C884" s="278"/>
      <c r="D884" s="278"/>
      <c r="E884" s="279"/>
      <c r="F884" s="278"/>
      <c r="G884" s="278"/>
      <c r="H884" s="278"/>
      <c r="I884" s="279"/>
      <c r="J884" s="278"/>
      <c r="K884" s="278"/>
      <c r="L884" s="278"/>
      <c r="M884" s="212"/>
    </row>
    <row r="885" spans="1:13">
      <c r="A885" s="213"/>
      <c r="B885" s="278"/>
      <c r="C885" s="278"/>
      <c r="D885" s="278"/>
      <c r="E885" s="279"/>
      <c r="F885" s="278"/>
      <c r="G885" s="278"/>
      <c r="H885" s="278"/>
      <c r="I885" s="279"/>
      <c r="J885" s="278"/>
      <c r="K885" s="278"/>
      <c r="L885" s="278"/>
      <c r="M885" s="212"/>
    </row>
    <row r="886" spans="1:13">
      <c r="A886" s="213"/>
      <c r="B886" s="279"/>
      <c r="C886" s="279"/>
      <c r="D886" s="279"/>
      <c r="E886" s="279"/>
      <c r="F886" s="279"/>
      <c r="G886" s="279"/>
      <c r="H886" s="279"/>
      <c r="I886" s="279"/>
      <c r="J886" s="279"/>
      <c r="K886" s="279"/>
      <c r="L886" s="279"/>
      <c r="M886" s="212"/>
    </row>
    <row r="887" spans="1:13">
      <c r="A887" s="213"/>
      <c r="B887" s="213"/>
      <c r="C887" s="213"/>
      <c r="D887" s="213"/>
      <c r="E887" s="213"/>
      <c r="F887" s="213"/>
      <c r="G887" s="213"/>
      <c r="H887" s="213"/>
      <c r="I887" s="213"/>
      <c r="J887" s="213"/>
      <c r="K887" s="213"/>
      <c r="L887" s="216"/>
      <c r="M887" s="212"/>
    </row>
    <row r="888" spans="1:13">
      <c r="A888" s="213"/>
      <c r="B888" s="213"/>
      <c r="C888" s="213"/>
      <c r="D888" s="213"/>
      <c r="E888" s="213"/>
      <c r="F888" s="213"/>
      <c r="G888" s="213"/>
      <c r="H888" s="213"/>
      <c r="I888" s="213"/>
      <c r="J888" s="213"/>
      <c r="K888" s="213"/>
      <c r="L888" s="260"/>
      <c r="M888" s="212"/>
    </row>
    <row r="889" spans="1:13">
      <c r="A889" s="234"/>
      <c r="B889" s="217"/>
      <c r="C889" s="217"/>
      <c r="D889" s="217"/>
      <c r="E889" s="217"/>
      <c r="F889" s="217"/>
      <c r="G889" s="217"/>
      <c r="H889" s="217"/>
      <c r="I889" s="217"/>
      <c r="J889" s="217"/>
      <c r="K889" s="217"/>
      <c r="L889" s="212"/>
      <c r="M889" s="212"/>
    </row>
    <row r="890" spans="1:13">
      <c r="A890" s="217"/>
      <c r="B890" s="347"/>
      <c r="C890" s="347"/>
      <c r="D890" s="347"/>
      <c r="E890" s="229"/>
      <c r="F890" s="347"/>
      <c r="G890" s="347"/>
      <c r="H890" s="347"/>
      <c r="I890" s="229"/>
      <c r="J890" s="347"/>
      <c r="K890" s="347"/>
      <c r="L890" s="347"/>
      <c r="M890" s="212"/>
    </row>
    <row r="891" spans="1:13">
      <c r="A891" s="234"/>
      <c r="B891" s="235"/>
      <c r="C891" s="235"/>
      <c r="D891" s="235"/>
      <c r="E891" s="235"/>
      <c r="F891" s="235"/>
      <c r="G891" s="235"/>
      <c r="H891" s="235"/>
      <c r="I891" s="235"/>
      <c r="J891" s="235"/>
      <c r="K891" s="235"/>
      <c r="L891" s="235"/>
      <c r="M891" s="212"/>
    </row>
    <row r="892" spans="1:13">
      <c r="A892" s="234"/>
      <c r="B892" s="235"/>
      <c r="C892" s="235"/>
      <c r="D892" s="235"/>
      <c r="E892" s="235"/>
      <c r="F892" s="235"/>
      <c r="G892" s="235"/>
      <c r="H892" s="235"/>
      <c r="I892" s="235"/>
      <c r="J892" s="235"/>
      <c r="K892" s="235"/>
      <c r="L892" s="235"/>
      <c r="M892" s="212"/>
    </row>
    <row r="893" spans="1:13">
      <c r="A893" s="213"/>
      <c r="B893" s="278"/>
      <c r="C893" s="278"/>
      <c r="D893" s="278"/>
      <c r="E893" s="279"/>
      <c r="F893" s="278"/>
      <c r="G893" s="278"/>
      <c r="H893" s="278"/>
      <c r="I893" s="279"/>
      <c r="J893" s="278"/>
      <c r="K893" s="278"/>
      <c r="L893" s="278"/>
      <c r="M893" s="212"/>
    </row>
    <row r="894" spans="1:13">
      <c r="A894" s="213"/>
      <c r="B894" s="278"/>
      <c r="C894" s="278"/>
      <c r="D894" s="278"/>
      <c r="E894" s="279"/>
      <c r="F894" s="278"/>
      <c r="G894" s="278"/>
      <c r="H894" s="278"/>
      <c r="I894" s="279"/>
      <c r="J894" s="278"/>
      <c r="K894" s="278"/>
      <c r="L894" s="278"/>
      <c r="M894" s="212"/>
    </row>
    <row r="895" spans="1:13">
      <c r="A895" s="213"/>
      <c r="B895" s="278"/>
      <c r="C895" s="278"/>
      <c r="D895" s="278"/>
      <c r="E895" s="279"/>
      <c r="F895" s="278"/>
      <c r="G895" s="278"/>
      <c r="H895" s="278"/>
      <c r="I895" s="279"/>
      <c r="J895" s="278"/>
      <c r="K895" s="278"/>
      <c r="L895" s="278"/>
      <c r="M895" s="212"/>
    </row>
    <row r="896" spans="1:13">
      <c r="A896" s="213"/>
      <c r="B896" s="278"/>
      <c r="C896" s="278"/>
      <c r="D896" s="278"/>
      <c r="E896" s="279"/>
      <c r="F896" s="278"/>
      <c r="G896" s="278"/>
      <c r="H896" s="278"/>
      <c r="I896" s="279"/>
      <c r="J896" s="278"/>
      <c r="K896" s="278"/>
      <c r="L896" s="278"/>
      <c r="M896" s="212"/>
    </row>
    <row r="897" spans="1:13">
      <c r="A897" s="213"/>
      <c r="B897" s="278"/>
      <c r="C897" s="278"/>
      <c r="D897" s="278"/>
      <c r="E897" s="279"/>
      <c r="F897" s="278"/>
      <c r="G897" s="278"/>
      <c r="H897" s="278"/>
      <c r="I897" s="279"/>
      <c r="J897" s="278"/>
      <c r="K897" s="278"/>
      <c r="L897" s="278"/>
      <c r="M897" s="212"/>
    </row>
    <row r="898" spans="1:13">
      <c r="A898" s="213"/>
      <c r="B898" s="278"/>
      <c r="C898" s="278"/>
      <c r="D898" s="278"/>
      <c r="E898" s="279"/>
      <c r="F898" s="278"/>
      <c r="G898" s="278"/>
      <c r="H898" s="278"/>
      <c r="I898" s="279"/>
      <c r="J898" s="278"/>
      <c r="K898" s="278"/>
      <c r="L898" s="278"/>
      <c r="M898" s="212"/>
    </row>
    <row r="899" spans="1:13">
      <c r="A899" s="213"/>
      <c r="B899" s="278"/>
      <c r="C899" s="278"/>
      <c r="D899" s="278"/>
      <c r="E899" s="279"/>
      <c r="F899" s="278"/>
      <c r="G899" s="278"/>
      <c r="H899" s="278"/>
      <c r="I899" s="279"/>
      <c r="J899" s="278"/>
      <c r="K899" s="278"/>
      <c r="L899" s="278"/>
      <c r="M899" s="212"/>
    </row>
    <row r="900" spans="1:13">
      <c r="A900" s="213"/>
      <c r="B900" s="278"/>
      <c r="C900" s="278"/>
      <c r="D900" s="278"/>
      <c r="E900" s="279"/>
      <c r="F900" s="278"/>
      <c r="G900" s="278"/>
      <c r="H900" s="278"/>
      <c r="I900" s="279"/>
      <c r="J900" s="278"/>
      <c r="K900" s="278"/>
      <c r="L900" s="278"/>
      <c r="M900" s="212"/>
    </row>
    <row r="901" spans="1:13">
      <c r="A901" s="213"/>
      <c r="B901" s="278"/>
      <c r="C901" s="278"/>
      <c r="D901" s="278"/>
      <c r="E901" s="279"/>
      <c r="F901" s="278"/>
      <c r="G901" s="278"/>
      <c r="H901" s="278"/>
      <c r="I901" s="279"/>
      <c r="J901" s="278"/>
      <c r="K901" s="278"/>
      <c r="L901" s="278"/>
      <c r="M901" s="212"/>
    </row>
    <row r="902" spans="1:13">
      <c r="A902" s="213"/>
      <c r="B902" s="278"/>
      <c r="C902" s="278"/>
      <c r="D902" s="278"/>
      <c r="E902" s="279"/>
      <c r="F902" s="278"/>
      <c r="G902" s="278"/>
      <c r="H902" s="278"/>
      <c r="I902" s="279"/>
      <c r="J902" s="278"/>
      <c r="K902" s="278"/>
      <c r="L902" s="278"/>
      <c r="M902" s="212"/>
    </row>
    <row r="903" spans="1:13">
      <c r="A903" s="213"/>
      <c r="B903" s="279"/>
      <c r="C903" s="279"/>
      <c r="D903" s="279"/>
      <c r="E903" s="279"/>
      <c r="F903" s="279"/>
      <c r="G903" s="279"/>
      <c r="H903" s="279"/>
      <c r="I903" s="279"/>
      <c r="J903" s="279"/>
      <c r="K903" s="279"/>
      <c r="L903" s="279"/>
      <c r="M903" s="212"/>
    </row>
    <row r="904" spans="1:13">
      <c r="A904" s="213"/>
      <c r="B904" s="213"/>
      <c r="C904" s="213"/>
      <c r="D904" s="213"/>
      <c r="E904" s="213"/>
      <c r="F904" s="213"/>
      <c r="G904" s="213"/>
      <c r="H904" s="213"/>
      <c r="I904" s="213"/>
      <c r="J904" s="213"/>
      <c r="K904" s="213"/>
      <c r="L904" s="216"/>
      <c r="M904" s="212"/>
    </row>
    <row r="905" spans="1:13">
      <c r="A905" s="213"/>
      <c r="B905" s="213"/>
      <c r="C905" s="213"/>
      <c r="D905" s="213"/>
      <c r="E905" s="213"/>
      <c r="F905" s="213"/>
      <c r="G905" s="213"/>
      <c r="H905" s="213"/>
      <c r="I905" s="213"/>
      <c r="J905" s="213"/>
      <c r="K905" s="213"/>
      <c r="L905" s="260"/>
      <c r="M905" s="212"/>
    </row>
    <row r="906" spans="1:13">
      <c r="A906" s="234"/>
      <c r="B906" s="217"/>
      <c r="C906" s="217"/>
      <c r="D906" s="217"/>
      <c r="E906" s="217"/>
      <c r="F906" s="217"/>
      <c r="G906" s="217"/>
      <c r="H906" s="217"/>
      <c r="I906" s="217"/>
      <c r="J906" s="217"/>
      <c r="K906" s="217"/>
      <c r="L906" s="212"/>
      <c r="M906" s="212"/>
    </row>
    <row r="907" spans="1:13">
      <c r="A907" s="217"/>
      <c r="B907" s="347"/>
      <c r="C907" s="347"/>
      <c r="D907" s="347"/>
      <c r="E907" s="229"/>
      <c r="F907" s="347"/>
      <c r="G907" s="347"/>
      <c r="H907" s="347"/>
      <c r="I907" s="229"/>
      <c r="J907" s="347"/>
      <c r="K907" s="347"/>
      <c r="L907" s="347"/>
      <c r="M907" s="212"/>
    </row>
    <row r="908" spans="1:13">
      <c r="A908" s="234"/>
      <c r="B908" s="235"/>
      <c r="C908" s="235"/>
      <c r="D908" s="235"/>
      <c r="E908" s="235"/>
      <c r="F908" s="235"/>
      <c r="G908" s="235"/>
      <c r="H908" s="235"/>
      <c r="I908" s="235"/>
      <c r="J908" s="235"/>
      <c r="K908" s="235"/>
      <c r="L908" s="235"/>
      <c r="M908" s="212"/>
    </row>
    <row r="909" spans="1:13">
      <c r="A909" s="234"/>
      <c r="B909" s="235"/>
      <c r="C909" s="235"/>
      <c r="D909" s="235"/>
      <c r="E909" s="235"/>
      <c r="F909" s="235"/>
      <c r="G909" s="235"/>
      <c r="H909" s="235"/>
      <c r="I909" s="235"/>
      <c r="J909" s="235"/>
      <c r="K909" s="235"/>
      <c r="L909" s="235"/>
      <c r="M909" s="212"/>
    </row>
    <row r="910" spans="1:13">
      <c r="A910" s="213"/>
      <c r="B910" s="278"/>
      <c r="C910" s="278"/>
      <c r="D910" s="278"/>
      <c r="E910" s="279"/>
      <c r="F910" s="278"/>
      <c r="G910" s="278"/>
      <c r="H910" s="278"/>
      <c r="I910" s="279"/>
      <c r="J910" s="278"/>
      <c r="K910" s="278"/>
      <c r="L910" s="278"/>
      <c r="M910" s="212"/>
    </row>
    <row r="911" spans="1:13">
      <c r="A911" s="213"/>
      <c r="B911" s="278"/>
      <c r="C911" s="278"/>
      <c r="D911" s="278"/>
      <c r="E911" s="279"/>
      <c r="F911" s="278"/>
      <c r="G911" s="278"/>
      <c r="H911" s="278"/>
      <c r="I911" s="279"/>
      <c r="J911" s="278"/>
      <c r="K911" s="278"/>
      <c r="L911" s="278"/>
      <c r="M911" s="212"/>
    </row>
    <row r="912" spans="1:13">
      <c r="A912" s="213"/>
      <c r="B912" s="278"/>
      <c r="C912" s="278"/>
      <c r="D912" s="278"/>
      <c r="E912" s="279"/>
      <c r="F912" s="278"/>
      <c r="G912" s="278"/>
      <c r="H912" s="278"/>
      <c r="I912" s="279"/>
      <c r="J912" s="278"/>
      <c r="K912" s="278"/>
      <c r="L912" s="278"/>
      <c r="M912" s="212"/>
    </row>
    <row r="913" spans="1:13">
      <c r="A913" s="213"/>
      <c r="B913" s="278"/>
      <c r="C913" s="278"/>
      <c r="D913" s="278"/>
      <c r="E913" s="279"/>
      <c r="F913" s="278"/>
      <c r="G913" s="278"/>
      <c r="H913" s="278"/>
      <c r="I913" s="279"/>
      <c r="J913" s="278"/>
      <c r="K913" s="278"/>
      <c r="L913" s="278"/>
      <c r="M913" s="212"/>
    </row>
    <row r="914" spans="1:13">
      <c r="A914" s="213"/>
      <c r="B914" s="278"/>
      <c r="C914" s="278"/>
      <c r="D914" s="278"/>
      <c r="E914" s="279"/>
      <c r="F914" s="278"/>
      <c r="G914" s="278"/>
      <c r="H914" s="278"/>
      <c r="I914" s="279"/>
      <c r="J914" s="278"/>
      <c r="K914" s="278"/>
      <c r="L914" s="278"/>
      <c r="M914" s="212"/>
    </row>
    <row r="915" spans="1:13">
      <c r="A915" s="213"/>
      <c r="B915" s="278"/>
      <c r="C915" s="278"/>
      <c r="D915" s="278"/>
      <c r="E915" s="279"/>
      <c r="F915" s="278"/>
      <c r="G915" s="278"/>
      <c r="H915" s="278"/>
      <c r="I915" s="279"/>
      <c r="J915" s="278"/>
      <c r="K915" s="278"/>
      <c r="L915" s="278"/>
      <c r="M915" s="212"/>
    </row>
    <row r="916" spans="1:13">
      <c r="A916" s="213"/>
      <c r="B916" s="278"/>
      <c r="C916" s="278"/>
      <c r="D916" s="278"/>
      <c r="E916" s="279"/>
      <c r="F916" s="278"/>
      <c r="G916" s="278"/>
      <c r="H916" s="278"/>
      <c r="I916" s="279"/>
      <c r="J916" s="278"/>
      <c r="K916" s="278"/>
      <c r="L916" s="278"/>
      <c r="M916" s="212"/>
    </row>
    <row r="917" spans="1:13">
      <c r="A917" s="213"/>
      <c r="B917" s="278"/>
      <c r="C917" s="278"/>
      <c r="D917" s="278"/>
      <c r="E917" s="279"/>
      <c r="F917" s="278"/>
      <c r="G917" s="278"/>
      <c r="H917" s="278"/>
      <c r="I917" s="279"/>
      <c r="J917" s="278"/>
      <c r="K917" s="278"/>
      <c r="L917" s="278"/>
      <c r="M917" s="212"/>
    </row>
    <row r="918" spans="1:13">
      <c r="A918" s="213"/>
      <c r="B918" s="278"/>
      <c r="C918" s="278"/>
      <c r="D918" s="278"/>
      <c r="E918" s="279"/>
      <c r="F918" s="278"/>
      <c r="G918" s="278"/>
      <c r="H918" s="278"/>
      <c r="I918" s="279"/>
      <c r="J918" s="278"/>
      <c r="K918" s="278"/>
      <c r="L918" s="278"/>
      <c r="M918" s="212"/>
    </row>
    <row r="919" spans="1:13">
      <c r="A919" s="213"/>
      <c r="B919" s="278"/>
      <c r="C919" s="278"/>
      <c r="D919" s="278"/>
      <c r="E919" s="279"/>
      <c r="F919" s="278"/>
      <c r="G919" s="278"/>
      <c r="H919" s="278"/>
      <c r="I919" s="279"/>
      <c r="J919" s="278"/>
      <c r="K919" s="278"/>
      <c r="L919" s="278"/>
      <c r="M919" s="212"/>
    </row>
    <row r="920" spans="1:13">
      <c r="A920" s="213"/>
      <c r="B920" s="279"/>
      <c r="C920" s="279"/>
      <c r="D920" s="279"/>
      <c r="E920" s="279"/>
      <c r="F920" s="279"/>
      <c r="G920" s="279"/>
      <c r="H920" s="279"/>
      <c r="I920" s="279"/>
      <c r="J920" s="279"/>
      <c r="K920" s="279"/>
      <c r="L920" s="279"/>
      <c r="M920" s="212"/>
    </row>
    <row r="921" spans="1:13">
      <c r="A921" s="213"/>
      <c r="B921" s="213"/>
      <c r="C921" s="213"/>
      <c r="D921" s="213"/>
      <c r="E921" s="213"/>
      <c r="F921" s="213"/>
      <c r="G921" s="213"/>
      <c r="H921" s="213"/>
      <c r="I921" s="213"/>
      <c r="J921" s="213"/>
      <c r="K921" s="213"/>
      <c r="L921" s="216"/>
      <c r="M921" s="212"/>
    </row>
    <row r="922" spans="1:13">
      <c r="A922" s="213"/>
      <c r="B922" s="213"/>
      <c r="C922" s="213"/>
      <c r="D922" s="213"/>
      <c r="E922" s="213"/>
      <c r="F922" s="213"/>
      <c r="G922" s="213"/>
      <c r="H922" s="213"/>
      <c r="I922" s="213"/>
      <c r="J922" s="213"/>
      <c r="K922" s="213"/>
      <c r="L922" s="260"/>
      <c r="M922" s="212"/>
    </row>
    <row r="923" spans="1:13">
      <c r="A923" s="234"/>
      <c r="B923" s="217"/>
      <c r="C923" s="217"/>
      <c r="D923" s="217"/>
      <c r="E923" s="217"/>
      <c r="F923" s="217"/>
      <c r="G923" s="217"/>
      <c r="H923" s="217"/>
      <c r="I923" s="217"/>
      <c r="J923" s="217"/>
      <c r="K923" s="217"/>
      <c r="L923" s="212"/>
      <c r="M923" s="212"/>
    </row>
    <row r="924" spans="1:13">
      <c r="A924" s="217"/>
      <c r="B924" s="347"/>
      <c r="C924" s="347"/>
      <c r="D924" s="347"/>
      <c r="E924" s="229"/>
      <c r="F924" s="347"/>
      <c r="G924" s="347"/>
      <c r="H924" s="347"/>
      <c r="I924" s="229"/>
      <c r="J924" s="347"/>
      <c r="K924" s="347"/>
      <c r="L924" s="347"/>
      <c r="M924" s="212"/>
    </row>
    <row r="925" spans="1:13">
      <c r="A925" s="234"/>
      <c r="B925" s="235"/>
      <c r="C925" s="235"/>
      <c r="D925" s="235"/>
      <c r="E925" s="235"/>
      <c r="F925" s="235"/>
      <c r="G925" s="235"/>
      <c r="H925" s="235"/>
      <c r="I925" s="235"/>
      <c r="J925" s="235"/>
      <c r="K925" s="235"/>
      <c r="L925" s="235"/>
      <c r="M925" s="212"/>
    </row>
    <row r="926" spans="1:13">
      <c r="A926" s="234"/>
      <c r="B926" s="235"/>
      <c r="C926" s="235"/>
      <c r="D926" s="235"/>
      <c r="E926" s="235"/>
      <c r="F926" s="235"/>
      <c r="G926" s="235"/>
      <c r="H926" s="235"/>
      <c r="I926" s="235"/>
      <c r="J926" s="235"/>
      <c r="K926" s="235"/>
      <c r="L926" s="235"/>
      <c r="M926" s="212"/>
    </row>
    <row r="927" spans="1:13">
      <c r="A927" s="213"/>
      <c r="B927" s="278"/>
      <c r="C927" s="278"/>
      <c r="D927" s="278"/>
      <c r="E927" s="279"/>
      <c r="F927" s="278"/>
      <c r="G927" s="278"/>
      <c r="H927" s="278"/>
      <c r="I927" s="279"/>
      <c r="J927" s="278"/>
      <c r="K927" s="278"/>
      <c r="L927" s="278"/>
      <c r="M927" s="212"/>
    </row>
    <row r="928" spans="1:13">
      <c r="A928" s="213"/>
      <c r="B928" s="278"/>
      <c r="C928" s="278"/>
      <c r="D928" s="278"/>
      <c r="E928" s="279"/>
      <c r="F928" s="278"/>
      <c r="G928" s="278"/>
      <c r="H928" s="278"/>
      <c r="I928" s="279"/>
      <c r="J928" s="278"/>
      <c r="K928" s="278"/>
      <c r="L928" s="278"/>
      <c r="M928" s="212"/>
    </row>
    <row r="929" spans="1:13">
      <c r="A929" s="213"/>
      <c r="B929" s="278"/>
      <c r="C929" s="278"/>
      <c r="D929" s="278"/>
      <c r="E929" s="279"/>
      <c r="F929" s="278"/>
      <c r="G929" s="278"/>
      <c r="H929" s="278"/>
      <c r="I929" s="279"/>
      <c r="J929" s="278"/>
      <c r="K929" s="278"/>
      <c r="L929" s="278"/>
      <c r="M929" s="212"/>
    </row>
    <row r="930" spans="1:13">
      <c r="A930" s="213"/>
      <c r="B930" s="278"/>
      <c r="C930" s="278"/>
      <c r="D930" s="278"/>
      <c r="E930" s="279"/>
      <c r="F930" s="278"/>
      <c r="G930" s="278"/>
      <c r="H930" s="278"/>
      <c r="I930" s="279"/>
      <c r="J930" s="278"/>
      <c r="K930" s="278"/>
      <c r="L930" s="278"/>
      <c r="M930" s="212"/>
    </row>
    <row r="931" spans="1:13">
      <c r="A931" s="213"/>
      <c r="B931" s="278"/>
      <c r="C931" s="278"/>
      <c r="D931" s="278"/>
      <c r="E931" s="279"/>
      <c r="F931" s="278"/>
      <c r="G931" s="278"/>
      <c r="H931" s="278"/>
      <c r="I931" s="279"/>
      <c r="J931" s="278"/>
      <c r="K931" s="278"/>
      <c r="L931" s="278"/>
      <c r="M931" s="212"/>
    </row>
    <row r="932" spans="1:13">
      <c r="A932" s="213"/>
      <c r="B932" s="278"/>
      <c r="C932" s="278"/>
      <c r="D932" s="278"/>
      <c r="E932" s="279"/>
      <c r="F932" s="278"/>
      <c r="G932" s="278"/>
      <c r="H932" s="278"/>
      <c r="I932" s="279"/>
      <c r="J932" s="278"/>
      <c r="K932" s="278"/>
      <c r="L932" s="278"/>
      <c r="M932" s="212"/>
    </row>
    <row r="933" spans="1:13">
      <c r="A933" s="213"/>
      <c r="B933" s="278"/>
      <c r="C933" s="278"/>
      <c r="D933" s="278"/>
      <c r="E933" s="279"/>
      <c r="F933" s="278"/>
      <c r="G933" s="278"/>
      <c r="H933" s="278"/>
      <c r="I933" s="279"/>
      <c r="J933" s="278"/>
      <c r="K933" s="278"/>
      <c r="L933" s="278"/>
      <c r="M933" s="212"/>
    </row>
    <row r="934" spans="1:13">
      <c r="A934" s="213"/>
      <c r="B934" s="278"/>
      <c r="C934" s="278"/>
      <c r="D934" s="278"/>
      <c r="E934" s="279"/>
      <c r="F934" s="278"/>
      <c r="G934" s="278"/>
      <c r="H934" s="278"/>
      <c r="I934" s="279"/>
      <c r="J934" s="278"/>
      <c r="K934" s="278"/>
      <c r="L934" s="278"/>
      <c r="M934" s="212"/>
    </row>
    <row r="935" spans="1:13">
      <c r="A935" s="213"/>
      <c r="B935" s="278"/>
      <c r="C935" s="278"/>
      <c r="D935" s="278"/>
      <c r="E935" s="279"/>
      <c r="F935" s="278"/>
      <c r="G935" s="278"/>
      <c r="H935" s="278"/>
      <c r="I935" s="279"/>
      <c r="J935" s="278"/>
      <c r="K935" s="278"/>
      <c r="L935" s="278"/>
      <c r="M935" s="212"/>
    </row>
    <row r="936" spans="1:13">
      <c r="A936" s="213"/>
      <c r="B936" s="278"/>
      <c r="C936" s="278"/>
      <c r="D936" s="278"/>
      <c r="E936" s="279"/>
      <c r="F936" s="278"/>
      <c r="G936" s="278"/>
      <c r="H936" s="278"/>
      <c r="I936" s="279"/>
      <c r="J936" s="278"/>
      <c r="K936" s="278"/>
      <c r="L936" s="278"/>
      <c r="M936" s="212"/>
    </row>
    <row r="937" spans="1:13">
      <c r="A937" s="213"/>
      <c r="B937" s="279"/>
      <c r="C937" s="279"/>
      <c r="D937" s="279"/>
      <c r="E937" s="279"/>
      <c r="F937" s="279"/>
      <c r="G937" s="279"/>
      <c r="H937" s="279"/>
      <c r="I937" s="279"/>
      <c r="J937" s="279"/>
      <c r="K937" s="279"/>
      <c r="L937" s="279"/>
      <c r="M937" s="212"/>
    </row>
    <row r="938" spans="1:13">
      <c r="A938" s="213"/>
      <c r="B938" s="213"/>
      <c r="C938" s="213"/>
      <c r="D938" s="213"/>
      <c r="E938" s="213"/>
      <c r="F938" s="213"/>
      <c r="G938" s="213"/>
      <c r="H938" s="213"/>
      <c r="I938" s="213"/>
      <c r="J938" s="213"/>
      <c r="K938" s="213"/>
      <c r="L938" s="216"/>
      <c r="M938" s="212"/>
    </row>
    <row r="939" spans="1:13">
      <c r="A939" s="213"/>
      <c r="B939" s="213"/>
      <c r="C939" s="213"/>
      <c r="D939" s="213"/>
      <c r="E939" s="213"/>
      <c r="F939" s="213"/>
      <c r="G939" s="213"/>
      <c r="H939" s="213"/>
      <c r="I939" s="213"/>
      <c r="J939" s="213"/>
      <c r="K939" s="213"/>
      <c r="L939" s="260"/>
      <c r="M939" s="212"/>
    </row>
    <row r="940" spans="1:13">
      <c r="A940" s="234"/>
      <c r="B940" s="217"/>
      <c r="C940" s="217"/>
      <c r="D940" s="217"/>
      <c r="E940" s="217"/>
      <c r="F940" s="217"/>
      <c r="G940" s="217"/>
      <c r="H940" s="217"/>
      <c r="I940" s="217"/>
      <c r="J940" s="217"/>
      <c r="K940" s="217"/>
      <c r="L940" s="212"/>
      <c r="M940" s="212"/>
    </row>
    <row r="941" spans="1:13">
      <c r="A941" s="217"/>
      <c r="B941" s="347"/>
      <c r="C941" s="347"/>
      <c r="D941" s="347"/>
      <c r="E941" s="229"/>
      <c r="F941" s="347"/>
      <c r="G941" s="347"/>
      <c r="H941" s="347"/>
      <c r="I941" s="229"/>
      <c r="J941" s="347"/>
      <c r="K941" s="347"/>
      <c r="L941" s="347"/>
      <c r="M941" s="212"/>
    </row>
    <row r="942" spans="1:13">
      <c r="A942" s="234"/>
      <c r="B942" s="235"/>
      <c r="C942" s="235"/>
      <c r="D942" s="235"/>
      <c r="E942" s="235"/>
      <c r="F942" s="235"/>
      <c r="G942" s="235"/>
      <c r="H942" s="235"/>
      <c r="I942" s="235"/>
      <c r="J942" s="235"/>
      <c r="K942" s="235"/>
      <c r="L942" s="235"/>
      <c r="M942" s="212"/>
    </row>
    <row r="943" spans="1:13">
      <c r="A943" s="234"/>
      <c r="B943" s="235"/>
      <c r="C943" s="235"/>
      <c r="D943" s="235"/>
      <c r="E943" s="235"/>
      <c r="F943" s="235"/>
      <c r="G943" s="235"/>
      <c r="H943" s="235"/>
      <c r="I943" s="235"/>
      <c r="J943" s="235"/>
      <c r="K943" s="235"/>
      <c r="L943" s="235"/>
      <c r="M943" s="212"/>
    </row>
    <row r="944" spans="1:13">
      <c r="A944" s="213"/>
      <c r="B944" s="278"/>
      <c r="C944" s="278"/>
      <c r="D944" s="278"/>
      <c r="E944" s="279"/>
      <c r="F944" s="278"/>
      <c r="G944" s="278"/>
      <c r="H944" s="278"/>
      <c r="I944" s="279"/>
      <c r="J944" s="278"/>
      <c r="K944" s="278"/>
      <c r="L944" s="278"/>
      <c r="M944" s="212"/>
    </row>
    <row r="945" spans="1:13">
      <c r="A945" s="213"/>
      <c r="B945" s="278"/>
      <c r="C945" s="278"/>
      <c r="D945" s="278"/>
      <c r="E945" s="279"/>
      <c r="F945" s="278"/>
      <c r="G945" s="278"/>
      <c r="H945" s="278"/>
      <c r="I945" s="279"/>
      <c r="J945" s="278"/>
      <c r="K945" s="278"/>
      <c r="L945" s="278"/>
      <c r="M945" s="212"/>
    </row>
    <row r="946" spans="1:13">
      <c r="A946" s="213"/>
      <c r="B946" s="278"/>
      <c r="C946" s="278"/>
      <c r="D946" s="278"/>
      <c r="E946" s="279"/>
      <c r="F946" s="278"/>
      <c r="G946" s="278"/>
      <c r="H946" s="278"/>
      <c r="I946" s="279"/>
      <c r="J946" s="278"/>
      <c r="K946" s="278"/>
      <c r="L946" s="278"/>
      <c r="M946" s="212"/>
    </row>
    <row r="947" spans="1:13">
      <c r="A947" s="213"/>
      <c r="B947" s="278"/>
      <c r="C947" s="278"/>
      <c r="D947" s="278"/>
      <c r="E947" s="279"/>
      <c r="F947" s="278"/>
      <c r="G947" s="278"/>
      <c r="H947" s="278"/>
      <c r="I947" s="279"/>
      <c r="J947" s="278"/>
      <c r="K947" s="278"/>
      <c r="L947" s="278"/>
      <c r="M947" s="212"/>
    </row>
    <row r="948" spans="1:13">
      <c r="A948" s="213"/>
      <c r="B948" s="278"/>
      <c r="C948" s="278"/>
      <c r="D948" s="278"/>
      <c r="E948" s="279"/>
      <c r="F948" s="278"/>
      <c r="G948" s="278"/>
      <c r="H948" s="278"/>
      <c r="I948" s="279"/>
      <c r="J948" s="278"/>
      <c r="K948" s="278"/>
      <c r="L948" s="278"/>
      <c r="M948" s="212"/>
    </row>
    <row r="949" spans="1:13">
      <c r="A949" s="213"/>
      <c r="B949" s="278"/>
      <c r="C949" s="278"/>
      <c r="D949" s="278"/>
      <c r="E949" s="279"/>
      <c r="F949" s="278"/>
      <c r="G949" s="278"/>
      <c r="H949" s="278"/>
      <c r="I949" s="279"/>
      <c r="J949" s="278"/>
      <c r="K949" s="278"/>
      <c r="L949" s="278"/>
      <c r="M949" s="212"/>
    </row>
    <row r="950" spans="1:13">
      <c r="A950" s="213"/>
      <c r="B950" s="278"/>
      <c r="C950" s="278"/>
      <c r="D950" s="278"/>
      <c r="E950" s="279"/>
      <c r="F950" s="278"/>
      <c r="G950" s="278"/>
      <c r="H950" s="278"/>
      <c r="I950" s="279"/>
      <c r="J950" s="278"/>
      <c r="K950" s="278"/>
      <c r="L950" s="278"/>
      <c r="M950" s="212"/>
    </row>
    <row r="951" spans="1:13">
      <c r="A951" s="213"/>
      <c r="B951" s="278"/>
      <c r="C951" s="278"/>
      <c r="D951" s="278"/>
      <c r="E951" s="279"/>
      <c r="F951" s="278"/>
      <c r="G951" s="278"/>
      <c r="H951" s="278"/>
      <c r="I951" s="279"/>
      <c r="J951" s="278"/>
      <c r="K951" s="278"/>
      <c r="L951" s="278"/>
      <c r="M951" s="212"/>
    </row>
    <row r="952" spans="1:13">
      <c r="A952" s="213"/>
      <c r="B952" s="278"/>
      <c r="C952" s="278"/>
      <c r="D952" s="278"/>
      <c r="E952" s="279"/>
      <c r="F952" s="278"/>
      <c r="G952" s="278"/>
      <c r="H952" s="278"/>
      <c r="I952" s="279"/>
      <c r="J952" s="278"/>
      <c r="K952" s="278"/>
      <c r="L952" s="278"/>
      <c r="M952" s="212"/>
    </row>
    <row r="953" spans="1:13">
      <c r="A953" s="213"/>
      <c r="B953" s="278"/>
      <c r="C953" s="278"/>
      <c r="D953" s="278"/>
      <c r="E953" s="279"/>
      <c r="F953" s="278"/>
      <c r="G953" s="278"/>
      <c r="H953" s="278"/>
      <c r="I953" s="279"/>
      <c r="J953" s="278"/>
      <c r="K953" s="278"/>
      <c r="L953" s="278"/>
      <c r="M953" s="212"/>
    </row>
    <row r="954" spans="1:13">
      <c r="A954" s="213"/>
      <c r="B954" s="279"/>
      <c r="C954" s="279"/>
      <c r="D954" s="279"/>
      <c r="E954" s="279"/>
      <c r="F954" s="279"/>
      <c r="G954" s="279"/>
      <c r="H954" s="279"/>
      <c r="I954" s="279"/>
      <c r="J954" s="279"/>
      <c r="K954" s="279"/>
      <c r="L954" s="279"/>
      <c r="M954" s="212"/>
    </row>
    <row r="955" spans="1:13">
      <c r="A955" s="213"/>
      <c r="B955" s="213"/>
      <c r="C955" s="213"/>
      <c r="D955" s="213"/>
      <c r="E955" s="213"/>
      <c r="F955" s="213"/>
      <c r="G955" s="213"/>
      <c r="H955" s="213"/>
      <c r="I955" s="213"/>
      <c r="J955" s="213"/>
      <c r="K955" s="213"/>
      <c r="L955" s="216"/>
      <c r="M955" s="212"/>
    </row>
    <row r="956" spans="1:13">
      <c r="A956" s="213"/>
      <c r="B956" s="213"/>
      <c r="C956" s="213"/>
      <c r="D956" s="213"/>
      <c r="E956" s="213"/>
      <c r="F956" s="213"/>
      <c r="G956" s="213"/>
      <c r="H956" s="213"/>
      <c r="I956" s="213"/>
      <c r="J956" s="213"/>
      <c r="K956" s="213"/>
      <c r="L956" s="260"/>
      <c r="M956" s="212"/>
    </row>
    <row r="957" spans="1:13">
      <c r="A957" s="234"/>
      <c r="B957" s="217"/>
      <c r="C957" s="217"/>
      <c r="D957" s="217"/>
      <c r="E957" s="217"/>
      <c r="F957" s="217"/>
      <c r="G957" s="217"/>
      <c r="H957" s="217"/>
      <c r="I957" s="217"/>
      <c r="J957" s="217"/>
      <c r="K957" s="217"/>
      <c r="L957" s="212"/>
      <c r="M957" s="212"/>
    </row>
    <row r="958" spans="1:13">
      <c r="A958" s="217"/>
      <c r="B958" s="347"/>
      <c r="C958" s="347"/>
      <c r="D958" s="347"/>
      <c r="E958" s="229"/>
      <c r="F958" s="347"/>
      <c r="G958" s="347"/>
      <c r="H958" s="347"/>
      <c r="I958" s="229"/>
      <c r="J958" s="347"/>
      <c r="K958" s="347"/>
      <c r="L958" s="347"/>
      <c r="M958" s="212"/>
    </row>
    <row r="959" spans="1:13">
      <c r="A959" s="234"/>
      <c r="B959" s="235"/>
      <c r="C959" s="235"/>
      <c r="D959" s="235"/>
      <c r="E959" s="235"/>
      <c r="F959" s="235"/>
      <c r="G959" s="235"/>
      <c r="H959" s="235"/>
      <c r="I959" s="235"/>
      <c r="J959" s="235"/>
      <c r="K959" s="235"/>
      <c r="L959" s="235"/>
      <c r="M959" s="212"/>
    </row>
    <row r="960" spans="1:13">
      <c r="A960" s="234"/>
      <c r="B960" s="235"/>
      <c r="C960" s="235"/>
      <c r="D960" s="235"/>
      <c r="E960" s="235"/>
      <c r="F960" s="235"/>
      <c r="G960" s="235"/>
      <c r="H960" s="235"/>
      <c r="I960" s="235"/>
      <c r="J960" s="235"/>
      <c r="K960" s="235"/>
      <c r="L960" s="235"/>
      <c r="M960" s="212"/>
    </row>
    <row r="961" spans="1:13">
      <c r="A961" s="213"/>
      <c r="B961" s="278"/>
      <c r="C961" s="278"/>
      <c r="D961" s="278"/>
      <c r="E961" s="279"/>
      <c r="F961" s="278"/>
      <c r="G961" s="278"/>
      <c r="H961" s="278"/>
      <c r="I961" s="279"/>
      <c r="J961" s="278"/>
      <c r="K961" s="278"/>
      <c r="L961" s="278"/>
      <c r="M961" s="212"/>
    </row>
    <row r="962" spans="1:13">
      <c r="A962" s="213"/>
      <c r="B962" s="278"/>
      <c r="C962" s="278"/>
      <c r="D962" s="278"/>
      <c r="E962" s="279"/>
      <c r="F962" s="278"/>
      <c r="G962" s="278"/>
      <c r="H962" s="278"/>
      <c r="I962" s="279"/>
      <c r="J962" s="278"/>
      <c r="K962" s="278"/>
      <c r="L962" s="278"/>
      <c r="M962" s="212"/>
    </row>
    <row r="963" spans="1:13">
      <c r="A963" s="213"/>
      <c r="B963" s="278"/>
      <c r="C963" s="278"/>
      <c r="D963" s="278"/>
      <c r="E963" s="279"/>
      <c r="F963" s="278"/>
      <c r="G963" s="278"/>
      <c r="H963" s="278"/>
      <c r="I963" s="279"/>
      <c r="J963" s="278"/>
      <c r="K963" s="278"/>
      <c r="L963" s="278"/>
      <c r="M963" s="212"/>
    </row>
    <row r="964" spans="1:13">
      <c r="A964" s="213"/>
      <c r="B964" s="278"/>
      <c r="C964" s="278"/>
      <c r="D964" s="278"/>
      <c r="E964" s="279"/>
      <c r="F964" s="278"/>
      <c r="G964" s="278"/>
      <c r="H964" s="278"/>
      <c r="I964" s="279"/>
      <c r="J964" s="278"/>
      <c r="K964" s="278"/>
      <c r="L964" s="278"/>
      <c r="M964" s="212"/>
    </row>
    <row r="965" spans="1:13">
      <c r="A965" s="213"/>
      <c r="B965" s="278"/>
      <c r="C965" s="278"/>
      <c r="D965" s="278"/>
      <c r="E965" s="279"/>
      <c r="F965" s="278"/>
      <c r="G965" s="278"/>
      <c r="H965" s="278"/>
      <c r="I965" s="279"/>
      <c r="J965" s="278"/>
      <c r="K965" s="278"/>
      <c r="L965" s="278"/>
      <c r="M965" s="212"/>
    </row>
    <row r="966" spans="1:13">
      <c r="A966" s="213"/>
      <c r="B966" s="278"/>
      <c r="C966" s="278"/>
      <c r="D966" s="278"/>
      <c r="E966" s="279"/>
      <c r="F966" s="278"/>
      <c r="G966" s="278"/>
      <c r="H966" s="278"/>
      <c r="I966" s="279"/>
      <c r="J966" s="278"/>
      <c r="K966" s="278"/>
      <c r="L966" s="278"/>
      <c r="M966" s="212"/>
    </row>
    <row r="967" spans="1:13">
      <c r="A967" s="213"/>
      <c r="B967" s="278"/>
      <c r="C967" s="278"/>
      <c r="D967" s="278"/>
      <c r="E967" s="279"/>
      <c r="F967" s="278"/>
      <c r="G967" s="278"/>
      <c r="H967" s="278"/>
      <c r="I967" s="279"/>
      <c r="J967" s="278"/>
      <c r="K967" s="278"/>
      <c r="L967" s="278"/>
      <c r="M967" s="212"/>
    </row>
    <row r="968" spans="1:13">
      <c r="A968" s="213"/>
      <c r="B968" s="278"/>
      <c r="C968" s="278"/>
      <c r="D968" s="278"/>
      <c r="E968" s="279"/>
      <c r="F968" s="278"/>
      <c r="G968" s="278"/>
      <c r="H968" s="278"/>
      <c r="I968" s="279"/>
      <c r="J968" s="278"/>
      <c r="K968" s="278"/>
      <c r="L968" s="278"/>
      <c r="M968" s="212"/>
    </row>
    <row r="969" spans="1:13">
      <c r="A969" s="213"/>
      <c r="B969" s="278"/>
      <c r="C969" s="278"/>
      <c r="D969" s="278"/>
      <c r="E969" s="279"/>
      <c r="F969" s="278"/>
      <c r="G969" s="278"/>
      <c r="H969" s="278"/>
      <c r="I969" s="279"/>
      <c r="J969" s="278"/>
      <c r="K969" s="278"/>
      <c r="L969" s="278"/>
      <c r="M969" s="212"/>
    </row>
    <row r="970" spans="1:13">
      <c r="A970" s="213"/>
      <c r="B970" s="278"/>
      <c r="C970" s="278"/>
      <c r="D970" s="278"/>
      <c r="E970" s="279"/>
      <c r="F970" s="278"/>
      <c r="G970" s="278"/>
      <c r="H970" s="278"/>
      <c r="I970" s="279"/>
      <c r="J970" s="278"/>
      <c r="K970" s="278"/>
      <c r="L970" s="278"/>
      <c r="M970" s="212"/>
    </row>
    <row r="971" spans="1:13">
      <c r="A971" s="213"/>
      <c r="B971" s="279"/>
      <c r="C971" s="279"/>
      <c r="D971" s="279"/>
      <c r="E971" s="279"/>
      <c r="F971" s="279"/>
      <c r="G971" s="279"/>
      <c r="H971" s="279"/>
      <c r="I971" s="279"/>
      <c r="J971" s="279"/>
      <c r="K971" s="279"/>
      <c r="L971" s="279"/>
      <c r="M971" s="212"/>
    </row>
    <row r="972" spans="1:13">
      <c r="A972" s="213"/>
      <c r="B972" s="213"/>
      <c r="C972" s="213"/>
      <c r="D972" s="213"/>
      <c r="E972" s="213"/>
      <c r="F972" s="213"/>
      <c r="G972" s="213"/>
      <c r="H972" s="213"/>
      <c r="I972" s="213"/>
      <c r="J972" s="213"/>
      <c r="K972" s="213"/>
      <c r="L972" s="216"/>
      <c r="M972" s="212"/>
    </row>
    <row r="973" spans="1:13">
      <c r="A973" s="213"/>
      <c r="B973" s="213"/>
      <c r="C973" s="213"/>
      <c r="D973" s="213"/>
      <c r="E973" s="213"/>
      <c r="F973" s="213"/>
      <c r="G973" s="213"/>
      <c r="H973" s="213"/>
      <c r="I973" s="213"/>
      <c r="J973" s="213"/>
      <c r="K973" s="213"/>
      <c r="L973" s="260"/>
      <c r="M973" s="212"/>
    </row>
    <row r="974" spans="1:13">
      <c r="A974" s="234"/>
      <c r="B974" s="217"/>
      <c r="C974" s="217"/>
      <c r="D974" s="217"/>
      <c r="E974" s="217"/>
      <c r="F974" s="217"/>
      <c r="G974" s="217"/>
      <c r="H974" s="217"/>
      <c r="I974" s="217"/>
      <c r="J974" s="217"/>
      <c r="K974" s="217"/>
      <c r="L974" s="212"/>
      <c r="M974" s="212"/>
    </row>
    <row r="975" spans="1:13">
      <c r="A975" s="217"/>
      <c r="B975" s="347"/>
      <c r="C975" s="347"/>
      <c r="D975" s="347"/>
      <c r="E975" s="229"/>
      <c r="F975" s="347"/>
      <c r="G975" s="347"/>
      <c r="H975" s="347"/>
      <c r="I975" s="229"/>
      <c r="J975" s="347"/>
      <c r="K975" s="347"/>
      <c r="L975" s="347"/>
      <c r="M975" s="212"/>
    </row>
    <row r="976" spans="1:13">
      <c r="A976" s="234"/>
      <c r="B976" s="235"/>
      <c r="C976" s="235"/>
      <c r="D976" s="235"/>
      <c r="E976" s="235"/>
      <c r="F976" s="235"/>
      <c r="G976" s="235"/>
      <c r="H976" s="235"/>
      <c r="I976" s="235"/>
      <c r="J976" s="235"/>
      <c r="K976" s="235"/>
      <c r="L976" s="235"/>
      <c r="M976" s="212"/>
    </row>
    <row r="977" spans="1:13">
      <c r="A977" s="234"/>
      <c r="B977" s="235"/>
      <c r="C977" s="235"/>
      <c r="D977" s="235"/>
      <c r="E977" s="235"/>
      <c r="F977" s="235"/>
      <c r="G977" s="235"/>
      <c r="H977" s="235"/>
      <c r="I977" s="235"/>
      <c r="J977" s="235"/>
      <c r="K977" s="235"/>
      <c r="L977" s="235"/>
      <c r="M977" s="212"/>
    </row>
    <row r="978" spans="1:13">
      <c r="A978" s="213"/>
      <c r="B978" s="278"/>
      <c r="C978" s="278"/>
      <c r="D978" s="278"/>
      <c r="E978" s="279"/>
      <c r="F978" s="278"/>
      <c r="G978" s="278"/>
      <c r="H978" s="278"/>
      <c r="I978" s="279"/>
      <c r="J978" s="278"/>
      <c r="K978" s="278"/>
      <c r="L978" s="278"/>
      <c r="M978" s="212"/>
    </row>
    <row r="979" spans="1:13">
      <c r="A979" s="213"/>
      <c r="B979" s="278"/>
      <c r="C979" s="278"/>
      <c r="D979" s="278"/>
      <c r="E979" s="279"/>
      <c r="F979" s="278"/>
      <c r="G979" s="278"/>
      <c r="H979" s="278"/>
      <c r="I979" s="279"/>
      <c r="J979" s="278"/>
      <c r="K979" s="278"/>
      <c r="L979" s="278"/>
      <c r="M979" s="212"/>
    </row>
    <row r="980" spans="1:13">
      <c r="A980" s="213"/>
      <c r="B980" s="278"/>
      <c r="C980" s="278"/>
      <c r="D980" s="278"/>
      <c r="E980" s="279"/>
      <c r="F980" s="278"/>
      <c r="G980" s="278"/>
      <c r="H980" s="278"/>
      <c r="I980" s="279"/>
      <c r="J980" s="278"/>
      <c r="K980" s="278"/>
      <c r="L980" s="278"/>
      <c r="M980" s="212"/>
    </row>
    <row r="981" spans="1:13">
      <c r="A981" s="213"/>
      <c r="B981" s="278"/>
      <c r="C981" s="278"/>
      <c r="D981" s="278"/>
      <c r="E981" s="279"/>
      <c r="F981" s="278"/>
      <c r="G981" s="278"/>
      <c r="H981" s="278"/>
      <c r="I981" s="279"/>
      <c r="J981" s="278"/>
      <c r="K981" s="278"/>
      <c r="L981" s="278"/>
      <c r="M981" s="212"/>
    </row>
    <row r="982" spans="1:13">
      <c r="A982" s="213"/>
      <c r="B982" s="278"/>
      <c r="C982" s="278"/>
      <c r="D982" s="278"/>
      <c r="E982" s="279"/>
      <c r="F982" s="278"/>
      <c r="G982" s="278"/>
      <c r="H982" s="278"/>
      <c r="I982" s="279"/>
      <c r="J982" s="278"/>
      <c r="K982" s="278"/>
      <c r="L982" s="278"/>
      <c r="M982" s="212"/>
    </row>
    <row r="983" spans="1:13">
      <c r="A983" s="213"/>
      <c r="B983" s="278"/>
      <c r="C983" s="278"/>
      <c r="D983" s="278"/>
      <c r="E983" s="279"/>
      <c r="F983" s="278"/>
      <c r="G983" s="278"/>
      <c r="H983" s="278"/>
      <c r="I983" s="279"/>
      <c r="J983" s="278"/>
      <c r="K983" s="278"/>
      <c r="L983" s="278"/>
      <c r="M983" s="212"/>
    </row>
    <row r="984" spans="1:13">
      <c r="A984" s="213"/>
      <c r="B984" s="278"/>
      <c r="C984" s="278"/>
      <c r="D984" s="278"/>
      <c r="E984" s="279"/>
      <c r="F984" s="278"/>
      <c r="G984" s="278"/>
      <c r="H984" s="278"/>
      <c r="I984" s="279"/>
      <c r="J984" s="278"/>
      <c r="K984" s="278"/>
      <c r="L984" s="278"/>
      <c r="M984" s="212"/>
    </row>
    <row r="985" spans="1:13">
      <c r="A985" s="213"/>
      <c r="B985" s="278"/>
      <c r="C985" s="278"/>
      <c r="D985" s="278"/>
      <c r="E985" s="279"/>
      <c r="F985" s="278"/>
      <c r="G985" s="278"/>
      <c r="H985" s="278"/>
      <c r="I985" s="279"/>
      <c r="J985" s="278"/>
      <c r="K985" s="278"/>
      <c r="L985" s="278"/>
      <c r="M985" s="212"/>
    </row>
    <row r="986" spans="1:13">
      <c r="A986" s="213"/>
      <c r="B986" s="278"/>
      <c r="C986" s="278"/>
      <c r="D986" s="278"/>
      <c r="E986" s="279"/>
      <c r="F986" s="278"/>
      <c r="G986" s="278"/>
      <c r="H986" s="278"/>
      <c r="I986" s="279"/>
      <c r="J986" s="278"/>
      <c r="K986" s="278"/>
      <c r="L986" s="278"/>
      <c r="M986" s="212"/>
    </row>
    <row r="987" spans="1:13">
      <c r="A987" s="213"/>
      <c r="B987" s="278"/>
      <c r="C987" s="278"/>
      <c r="D987" s="278"/>
      <c r="E987" s="279"/>
      <c r="F987" s="278"/>
      <c r="G987" s="278"/>
      <c r="H987" s="278"/>
      <c r="I987" s="279"/>
      <c r="J987" s="278"/>
      <c r="K987" s="278"/>
      <c r="L987" s="278"/>
      <c r="M987" s="212"/>
    </row>
    <row r="988" spans="1:13">
      <c r="A988" s="213"/>
      <c r="B988" s="279"/>
      <c r="C988" s="279"/>
      <c r="D988" s="279"/>
      <c r="E988" s="279"/>
      <c r="F988" s="279"/>
      <c r="G988" s="279"/>
      <c r="H988" s="279"/>
      <c r="I988" s="279"/>
      <c r="J988" s="279"/>
      <c r="K988" s="279"/>
      <c r="L988" s="279"/>
      <c r="M988" s="212"/>
    </row>
    <row r="989" spans="1:13">
      <c r="A989" s="213"/>
      <c r="B989" s="213"/>
      <c r="C989" s="213"/>
      <c r="D989" s="213"/>
      <c r="E989" s="213"/>
      <c r="F989" s="213"/>
      <c r="G989" s="213"/>
      <c r="H989" s="213"/>
      <c r="I989" s="213"/>
      <c r="J989" s="213"/>
      <c r="K989" s="213"/>
      <c r="L989" s="216"/>
      <c r="M989" s="212"/>
    </row>
    <row r="990" spans="1:13">
      <c r="A990" s="213"/>
      <c r="B990" s="213"/>
      <c r="C990" s="213"/>
      <c r="D990" s="213"/>
      <c r="E990" s="213"/>
      <c r="F990" s="213"/>
      <c r="G990" s="213"/>
      <c r="H990" s="213"/>
      <c r="I990" s="213"/>
      <c r="J990" s="213"/>
      <c r="K990" s="213"/>
      <c r="L990" s="260"/>
      <c r="M990" s="212"/>
    </row>
    <row r="991" spans="1:13">
      <c r="A991" s="234"/>
      <c r="B991" s="217"/>
      <c r="C991" s="217"/>
      <c r="D991" s="217"/>
      <c r="E991" s="217"/>
      <c r="F991" s="217"/>
      <c r="G991" s="217"/>
      <c r="H991" s="217"/>
      <c r="I991" s="217"/>
      <c r="J991" s="217"/>
      <c r="K991" s="217"/>
      <c r="L991" s="212"/>
      <c r="M991" s="212"/>
    </row>
    <row r="992" spans="1:13">
      <c r="A992" s="217"/>
      <c r="B992" s="347"/>
      <c r="C992" s="347"/>
      <c r="D992" s="347"/>
      <c r="E992" s="229"/>
      <c r="F992" s="347"/>
      <c r="G992" s="347"/>
      <c r="H992" s="347"/>
      <c r="I992" s="229"/>
      <c r="J992" s="347"/>
      <c r="K992" s="347"/>
      <c r="L992" s="347"/>
      <c r="M992" s="212"/>
    </row>
    <row r="993" spans="1:13">
      <c r="A993" s="234"/>
      <c r="B993" s="235"/>
      <c r="C993" s="235"/>
      <c r="D993" s="235"/>
      <c r="E993" s="235"/>
      <c r="F993" s="235"/>
      <c r="G993" s="235"/>
      <c r="H993" s="235"/>
      <c r="I993" s="235"/>
      <c r="J993" s="235"/>
      <c r="K993" s="235"/>
      <c r="L993" s="235"/>
      <c r="M993" s="212"/>
    </row>
    <row r="994" spans="1:13">
      <c r="A994" s="234"/>
      <c r="B994" s="235"/>
      <c r="C994" s="235"/>
      <c r="D994" s="235"/>
      <c r="E994" s="235"/>
      <c r="F994" s="235"/>
      <c r="G994" s="235"/>
      <c r="H994" s="235"/>
      <c r="I994" s="235"/>
      <c r="J994" s="235"/>
      <c r="K994" s="235"/>
      <c r="L994" s="235"/>
      <c r="M994" s="212"/>
    </row>
    <row r="995" spans="1:13">
      <c r="A995" s="213"/>
      <c r="B995" s="278"/>
      <c r="C995" s="278"/>
      <c r="D995" s="278"/>
      <c r="E995" s="279"/>
      <c r="F995" s="278"/>
      <c r="G995" s="278"/>
      <c r="H995" s="278"/>
      <c r="I995" s="279"/>
      <c r="J995" s="278"/>
      <c r="K995" s="278"/>
      <c r="L995" s="278"/>
      <c r="M995" s="212"/>
    </row>
    <row r="996" spans="1:13">
      <c r="A996" s="213"/>
      <c r="B996" s="278"/>
      <c r="C996" s="278"/>
      <c r="D996" s="278"/>
      <c r="E996" s="279"/>
      <c r="F996" s="278"/>
      <c r="G996" s="278"/>
      <c r="H996" s="278"/>
      <c r="I996" s="279"/>
      <c r="J996" s="278"/>
      <c r="K996" s="278"/>
      <c r="L996" s="278"/>
      <c r="M996" s="212"/>
    </row>
    <row r="997" spans="1:13">
      <c r="A997" s="213"/>
      <c r="B997" s="278"/>
      <c r="C997" s="278"/>
      <c r="D997" s="278"/>
      <c r="E997" s="279"/>
      <c r="F997" s="278"/>
      <c r="G997" s="278"/>
      <c r="H997" s="278"/>
      <c r="I997" s="279"/>
      <c r="J997" s="278"/>
      <c r="K997" s="278"/>
      <c r="L997" s="278"/>
      <c r="M997" s="212"/>
    </row>
    <row r="998" spans="1:13">
      <c r="A998" s="213"/>
      <c r="B998" s="278"/>
      <c r="C998" s="278"/>
      <c r="D998" s="278"/>
      <c r="E998" s="279"/>
      <c r="F998" s="278"/>
      <c r="G998" s="278"/>
      <c r="H998" s="278"/>
      <c r="I998" s="279"/>
      <c r="J998" s="278"/>
      <c r="K998" s="278"/>
      <c r="L998" s="278"/>
      <c r="M998" s="212"/>
    </row>
    <row r="999" spans="1:13">
      <c r="A999" s="213"/>
      <c r="B999" s="278"/>
      <c r="C999" s="278"/>
      <c r="D999" s="278"/>
      <c r="E999" s="279"/>
      <c r="F999" s="278"/>
      <c r="G999" s="278"/>
      <c r="H999" s="278"/>
      <c r="I999" s="279"/>
      <c r="J999" s="278"/>
      <c r="K999" s="278"/>
      <c r="L999" s="278"/>
      <c r="M999" s="212"/>
    </row>
    <row r="1000" spans="1:13">
      <c r="A1000" s="213"/>
      <c r="B1000" s="278"/>
      <c r="C1000" s="278"/>
      <c r="D1000" s="278"/>
      <c r="E1000" s="279"/>
      <c r="F1000" s="278"/>
      <c r="G1000" s="278"/>
      <c r="H1000" s="278"/>
      <c r="I1000" s="279"/>
      <c r="J1000" s="278"/>
      <c r="K1000" s="278"/>
      <c r="L1000" s="278"/>
      <c r="M1000" s="212"/>
    </row>
    <row r="1001" spans="1:13">
      <c r="A1001" s="213"/>
      <c r="B1001" s="278"/>
      <c r="C1001" s="278"/>
      <c r="D1001" s="278"/>
      <c r="E1001" s="279"/>
      <c r="F1001" s="278"/>
      <c r="G1001" s="278"/>
      <c r="H1001" s="278"/>
      <c r="I1001" s="279"/>
      <c r="J1001" s="278"/>
      <c r="K1001" s="278"/>
      <c r="L1001" s="278"/>
      <c r="M1001" s="212"/>
    </row>
    <row r="1002" spans="1:13">
      <c r="A1002" s="213"/>
      <c r="B1002" s="278"/>
      <c r="C1002" s="278"/>
      <c r="D1002" s="278"/>
      <c r="E1002" s="279"/>
      <c r="F1002" s="278"/>
      <c r="G1002" s="278"/>
      <c r="H1002" s="278"/>
      <c r="I1002" s="279"/>
      <c r="J1002" s="278"/>
      <c r="K1002" s="278"/>
      <c r="L1002" s="278"/>
      <c r="M1002" s="212"/>
    </row>
    <row r="1003" spans="1:13">
      <c r="A1003" s="213"/>
      <c r="B1003" s="278"/>
      <c r="C1003" s="278"/>
      <c r="D1003" s="278"/>
      <c r="E1003" s="279"/>
      <c r="F1003" s="278"/>
      <c r="G1003" s="278"/>
      <c r="H1003" s="278"/>
      <c r="I1003" s="279"/>
      <c r="J1003" s="278"/>
      <c r="K1003" s="278"/>
      <c r="L1003" s="278"/>
      <c r="M1003" s="212"/>
    </row>
    <row r="1004" spans="1:13">
      <c r="A1004" s="213"/>
      <c r="B1004" s="278"/>
      <c r="C1004" s="278"/>
      <c r="D1004" s="278"/>
      <c r="E1004" s="279"/>
      <c r="F1004" s="278"/>
      <c r="G1004" s="278"/>
      <c r="H1004" s="278"/>
      <c r="I1004" s="279"/>
      <c r="J1004" s="278"/>
      <c r="K1004" s="278"/>
      <c r="L1004" s="278"/>
      <c r="M1004" s="212"/>
    </row>
    <row r="1005" spans="1:13">
      <c r="A1005" s="213"/>
      <c r="B1005" s="279"/>
      <c r="C1005" s="279"/>
      <c r="D1005" s="279"/>
      <c r="E1005" s="279"/>
      <c r="F1005" s="279"/>
      <c r="G1005" s="279"/>
      <c r="H1005" s="279"/>
      <c r="I1005" s="279"/>
      <c r="J1005" s="279"/>
      <c r="K1005" s="279"/>
      <c r="L1005" s="279"/>
      <c r="M1005" s="212"/>
    </row>
    <row r="1006" spans="1:13">
      <c r="A1006" s="213"/>
      <c r="B1006" s="213"/>
      <c r="C1006" s="213"/>
      <c r="D1006" s="213"/>
      <c r="E1006" s="213"/>
      <c r="F1006" s="213"/>
      <c r="G1006" s="213"/>
      <c r="H1006" s="213"/>
      <c r="I1006" s="213"/>
      <c r="J1006" s="213"/>
      <c r="K1006" s="213"/>
      <c r="L1006" s="216"/>
      <c r="M1006" s="212"/>
    </row>
    <row r="1007" spans="1:13">
      <c r="A1007" s="213"/>
      <c r="B1007" s="213"/>
      <c r="C1007" s="213"/>
      <c r="D1007" s="213"/>
      <c r="E1007" s="213"/>
      <c r="F1007" s="213"/>
      <c r="G1007" s="213"/>
      <c r="H1007" s="213"/>
      <c r="I1007" s="213"/>
      <c r="J1007" s="213"/>
      <c r="K1007" s="213"/>
      <c r="L1007" s="260"/>
      <c r="M1007" s="212"/>
    </row>
    <row r="1008" spans="1:13">
      <c r="A1008" s="234"/>
      <c r="B1008" s="217"/>
      <c r="C1008" s="217"/>
      <c r="D1008" s="217"/>
      <c r="E1008" s="217"/>
      <c r="F1008" s="217"/>
      <c r="G1008" s="217"/>
      <c r="H1008" s="217"/>
      <c r="I1008" s="217"/>
      <c r="J1008" s="217"/>
      <c r="K1008" s="217"/>
      <c r="L1008" s="212"/>
      <c r="M1008" s="212"/>
    </row>
    <row r="1009" spans="1:13">
      <c r="A1009" s="217"/>
      <c r="B1009" s="347"/>
      <c r="C1009" s="347"/>
      <c r="D1009" s="347"/>
      <c r="E1009" s="229"/>
      <c r="F1009" s="347"/>
      <c r="G1009" s="347"/>
      <c r="H1009" s="347"/>
      <c r="I1009" s="229"/>
      <c r="J1009" s="347"/>
      <c r="K1009" s="347"/>
      <c r="L1009" s="347"/>
      <c r="M1009" s="212"/>
    </row>
    <row r="1010" spans="1:13">
      <c r="A1010" s="234"/>
      <c r="B1010" s="235"/>
      <c r="C1010" s="235"/>
      <c r="D1010" s="235"/>
      <c r="E1010" s="235"/>
      <c r="F1010" s="235"/>
      <c r="G1010" s="235"/>
      <c r="H1010" s="235"/>
      <c r="I1010" s="235"/>
      <c r="J1010" s="235"/>
      <c r="K1010" s="235"/>
      <c r="L1010" s="235"/>
      <c r="M1010" s="212"/>
    </row>
    <row r="1011" spans="1:13">
      <c r="A1011" s="234"/>
      <c r="B1011" s="235"/>
      <c r="C1011" s="235"/>
      <c r="D1011" s="235"/>
      <c r="E1011" s="235"/>
      <c r="F1011" s="235"/>
      <c r="G1011" s="235"/>
      <c r="H1011" s="235"/>
      <c r="I1011" s="235"/>
      <c r="J1011" s="235"/>
      <c r="K1011" s="235"/>
      <c r="L1011" s="235"/>
      <c r="M1011" s="212"/>
    </row>
    <row r="1012" spans="1:13">
      <c r="A1012" s="213"/>
      <c r="B1012" s="278"/>
      <c r="C1012" s="278"/>
      <c r="D1012" s="278"/>
      <c r="E1012" s="279"/>
      <c r="F1012" s="278"/>
      <c r="G1012" s="278"/>
      <c r="H1012" s="278"/>
      <c r="I1012" s="279"/>
      <c r="J1012" s="278"/>
      <c r="K1012" s="278"/>
      <c r="L1012" s="278"/>
      <c r="M1012" s="212"/>
    </row>
    <row r="1013" spans="1:13">
      <c r="A1013" s="213"/>
      <c r="B1013" s="278"/>
      <c r="C1013" s="278"/>
      <c r="D1013" s="278"/>
      <c r="E1013" s="279"/>
      <c r="F1013" s="278"/>
      <c r="G1013" s="278"/>
      <c r="H1013" s="278"/>
      <c r="I1013" s="279"/>
      <c r="J1013" s="278"/>
      <c r="K1013" s="278"/>
      <c r="L1013" s="278"/>
      <c r="M1013" s="212"/>
    </row>
    <row r="1014" spans="1:13">
      <c r="A1014" s="213"/>
      <c r="B1014" s="278"/>
      <c r="C1014" s="278"/>
      <c r="D1014" s="278"/>
      <c r="E1014" s="279"/>
      <c r="F1014" s="278"/>
      <c r="G1014" s="278"/>
      <c r="H1014" s="278"/>
      <c r="I1014" s="279"/>
      <c r="J1014" s="278"/>
      <c r="K1014" s="278"/>
      <c r="L1014" s="278"/>
      <c r="M1014" s="212"/>
    </row>
    <row r="1015" spans="1:13">
      <c r="A1015" s="213"/>
      <c r="B1015" s="278"/>
      <c r="C1015" s="278"/>
      <c r="D1015" s="278"/>
      <c r="E1015" s="279"/>
      <c r="F1015" s="278"/>
      <c r="G1015" s="278"/>
      <c r="H1015" s="278"/>
      <c r="I1015" s="279"/>
      <c r="J1015" s="278"/>
      <c r="K1015" s="278"/>
      <c r="L1015" s="278"/>
      <c r="M1015" s="212"/>
    </row>
    <row r="1016" spans="1:13">
      <c r="A1016" s="213"/>
      <c r="B1016" s="278"/>
      <c r="C1016" s="278"/>
      <c r="D1016" s="278"/>
      <c r="E1016" s="279"/>
      <c r="F1016" s="278"/>
      <c r="G1016" s="278"/>
      <c r="H1016" s="278"/>
      <c r="I1016" s="279"/>
      <c r="J1016" s="278"/>
      <c r="K1016" s="278"/>
      <c r="L1016" s="278"/>
      <c r="M1016" s="212"/>
    </row>
    <row r="1017" spans="1:13">
      <c r="A1017" s="213"/>
      <c r="B1017" s="278"/>
      <c r="C1017" s="278"/>
      <c r="D1017" s="278"/>
      <c r="E1017" s="279"/>
      <c r="F1017" s="278"/>
      <c r="G1017" s="278"/>
      <c r="H1017" s="278"/>
      <c r="I1017" s="279"/>
      <c r="J1017" s="278"/>
      <c r="K1017" s="278"/>
      <c r="L1017" s="278"/>
      <c r="M1017" s="212"/>
    </row>
    <row r="1018" spans="1:13">
      <c r="A1018" s="213"/>
      <c r="B1018" s="278"/>
      <c r="C1018" s="278"/>
      <c r="D1018" s="278"/>
      <c r="E1018" s="279"/>
      <c r="F1018" s="278"/>
      <c r="G1018" s="278"/>
      <c r="H1018" s="278"/>
      <c r="I1018" s="279"/>
      <c r="J1018" s="278"/>
      <c r="K1018" s="278"/>
      <c r="L1018" s="278"/>
      <c r="M1018" s="212"/>
    </row>
    <row r="1019" spans="1:13">
      <c r="A1019" s="213"/>
      <c r="B1019" s="278"/>
      <c r="C1019" s="278"/>
      <c r="D1019" s="278"/>
      <c r="E1019" s="279"/>
      <c r="F1019" s="278"/>
      <c r="G1019" s="278"/>
      <c r="H1019" s="278"/>
      <c r="I1019" s="279"/>
      <c r="J1019" s="278"/>
      <c r="K1019" s="278"/>
      <c r="L1019" s="278"/>
      <c r="M1019" s="212"/>
    </row>
    <row r="1020" spans="1:13">
      <c r="A1020" s="213"/>
      <c r="B1020" s="278"/>
      <c r="C1020" s="278"/>
      <c r="D1020" s="278"/>
      <c r="E1020" s="279"/>
      <c r="F1020" s="278"/>
      <c r="G1020" s="278"/>
      <c r="H1020" s="278"/>
      <c r="I1020" s="279"/>
      <c r="J1020" s="278"/>
      <c r="K1020" s="278"/>
      <c r="L1020" s="278"/>
      <c r="M1020" s="212"/>
    </row>
    <row r="1021" spans="1:13">
      <c r="A1021" s="213"/>
      <c r="B1021" s="278"/>
      <c r="C1021" s="278"/>
      <c r="D1021" s="278"/>
      <c r="E1021" s="279"/>
      <c r="F1021" s="278"/>
      <c r="G1021" s="278"/>
      <c r="H1021" s="278"/>
      <c r="I1021" s="279"/>
      <c r="J1021" s="278"/>
      <c r="K1021" s="278"/>
      <c r="L1021" s="278"/>
      <c r="M1021" s="212"/>
    </row>
    <row r="1022" spans="1:13">
      <c r="A1022" s="213"/>
      <c r="B1022" s="279"/>
      <c r="C1022" s="279"/>
      <c r="D1022" s="279"/>
      <c r="E1022" s="279"/>
      <c r="F1022" s="279"/>
      <c r="G1022" s="279"/>
      <c r="H1022" s="279"/>
      <c r="I1022" s="279"/>
      <c r="J1022" s="279"/>
      <c r="K1022" s="279"/>
      <c r="L1022" s="279"/>
      <c r="M1022" s="212"/>
    </row>
    <row r="1023" spans="1:13">
      <c r="A1023" s="213"/>
      <c r="B1023" s="213"/>
      <c r="C1023" s="213"/>
      <c r="D1023" s="213"/>
      <c r="E1023" s="213"/>
      <c r="F1023" s="213"/>
      <c r="G1023" s="213"/>
      <c r="H1023" s="213"/>
      <c r="I1023" s="213"/>
      <c r="J1023" s="213"/>
      <c r="K1023" s="213"/>
      <c r="L1023" s="216"/>
      <c r="M1023" s="212"/>
    </row>
    <row r="1024" spans="1:13">
      <c r="A1024" s="213"/>
      <c r="B1024" s="213"/>
      <c r="C1024" s="213"/>
      <c r="D1024" s="213"/>
      <c r="E1024" s="213"/>
      <c r="F1024" s="213"/>
      <c r="G1024" s="213"/>
      <c r="H1024" s="213"/>
      <c r="I1024" s="213"/>
      <c r="J1024" s="213"/>
      <c r="K1024" s="213"/>
      <c r="L1024" s="260"/>
      <c r="M1024" s="212"/>
    </row>
    <row r="1025" spans="1:13">
      <c r="A1025" s="234"/>
      <c r="B1025" s="217"/>
      <c r="C1025" s="217"/>
      <c r="D1025" s="217"/>
      <c r="E1025" s="217"/>
      <c r="F1025" s="217"/>
      <c r="G1025" s="217"/>
      <c r="H1025" s="217"/>
      <c r="I1025" s="217"/>
      <c r="J1025" s="217"/>
      <c r="K1025" s="217"/>
      <c r="L1025" s="212"/>
      <c r="M1025" s="212"/>
    </row>
    <row r="1026" spans="1:13">
      <c r="A1026" s="217"/>
      <c r="B1026" s="347"/>
      <c r="C1026" s="347"/>
      <c r="D1026" s="347"/>
      <c r="E1026" s="229"/>
      <c r="F1026" s="347"/>
      <c r="G1026" s="347"/>
      <c r="H1026" s="347"/>
      <c r="I1026" s="229"/>
      <c r="J1026" s="347"/>
      <c r="K1026" s="347"/>
      <c r="L1026" s="347"/>
      <c r="M1026" s="212"/>
    </row>
    <row r="1027" spans="1:13">
      <c r="A1027" s="234"/>
      <c r="B1027" s="235"/>
      <c r="C1027" s="235"/>
      <c r="D1027" s="235"/>
      <c r="E1027" s="235"/>
      <c r="F1027" s="235"/>
      <c r="G1027" s="235"/>
      <c r="H1027" s="235"/>
      <c r="I1027" s="235"/>
      <c r="J1027" s="235"/>
      <c r="K1027" s="235"/>
      <c r="L1027" s="235"/>
      <c r="M1027" s="212"/>
    </row>
    <row r="1028" spans="1:13">
      <c r="A1028" s="234"/>
      <c r="B1028" s="235"/>
      <c r="C1028" s="235"/>
      <c r="D1028" s="235"/>
      <c r="E1028" s="235"/>
      <c r="F1028" s="235"/>
      <c r="G1028" s="235"/>
      <c r="H1028" s="235"/>
      <c r="I1028" s="235"/>
      <c r="J1028" s="235"/>
      <c r="K1028" s="235"/>
      <c r="L1028" s="235"/>
      <c r="M1028" s="212"/>
    </row>
    <row r="1029" spans="1:13">
      <c r="A1029" s="213"/>
      <c r="B1029" s="278"/>
      <c r="C1029" s="278"/>
      <c r="D1029" s="278"/>
      <c r="E1029" s="279"/>
      <c r="F1029" s="278"/>
      <c r="G1029" s="278"/>
      <c r="H1029" s="278"/>
      <c r="I1029" s="279"/>
      <c r="J1029" s="278"/>
      <c r="K1029" s="278"/>
      <c r="L1029" s="278"/>
      <c r="M1029" s="212"/>
    </row>
    <row r="1030" spans="1:13">
      <c r="A1030" s="213"/>
      <c r="B1030" s="278"/>
      <c r="C1030" s="278"/>
      <c r="D1030" s="278"/>
      <c r="E1030" s="279"/>
      <c r="F1030" s="278"/>
      <c r="G1030" s="278"/>
      <c r="H1030" s="278"/>
      <c r="I1030" s="279"/>
      <c r="J1030" s="278"/>
      <c r="K1030" s="278"/>
      <c r="L1030" s="278"/>
      <c r="M1030" s="212"/>
    </row>
    <row r="1031" spans="1:13">
      <c r="A1031" s="213"/>
      <c r="B1031" s="278"/>
      <c r="C1031" s="278"/>
      <c r="D1031" s="278"/>
      <c r="E1031" s="279"/>
      <c r="F1031" s="278"/>
      <c r="G1031" s="278"/>
      <c r="H1031" s="278"/>
      <c r="I1031" s="279"/>
      <c r="J1031" s="278"/>
      <c r="K1031" s="278"/>
      <c r="L1031" s="278"/>
      <c r="M1031" s="212"/>
    </row>
    <row r="1032" spans="1:13">
      <c r="A1032" s="213"/>
      <c r="B1032" s="278"/>
      <c r="C1032" s="278"/>
      <c r="D1032" s="278"/>
      <c r="E1032" s="279"/>
      <c r="F1032" s="278"/>
      <c r="G1032" s="278"/>
      <c r="H1032" s="278"/>
      <c r="I1032" s="279"/>
      <c r="J1032" s="278"/>
      <c r="K1032" s="278"/>
      <c r="L1032" s="278"/>
      <c r="M1032" s="212"/>
    </row>
    <row r="1033" spans="1:13">
      <c r="A1033" s="213"/>
      <c r="B1033" s="278"/>
      <c r="C1033" s="278"/>
      <c r="D1033" s="278"/>
      <c r="E1033" s="279"/>
      <c r="F1033" s="278"/>
      <c r="G1033" s="278"/>
      <c r="H1033" s="278"/>
      <c r="I1033" s="279"/>
      <c r="J1033" s="278"/>
      <c r="K1033" s="278"/>
      <c r="L1033" s="278"/>
      <c r="M1033" s="212"/>
    </row>
    <row r="1034" spans="1:13">
      <c r="A1034" s="213"/>
      <c r="B1034" s="278"/>
      <c r="C1034" s="278"/>
      <c r="D1034" s="278"/>
      <c r="E1034" s="279"/>
      <c r="F1034" s="278"/>
      <c r="G1034" s="278"/>
      <c r="H1034" s="278"/>
      <c r="I1034" s="279"/>
      <c r="J1034" s="278"/>
      <c r="K1034" s="278"/>
      <c r="L1034" s="278"/>
      <c r="M1034" s="212"/>
    </row>
    <row r="1035" spans="1:13">
      <c r="A1035" s="213"/>
      <c r="B1035" s="278"/>
      <c r="C1035" s="278"/>
      <c r="D1035" s="278"/>
      <c r="E1035" s="279"/>
      <c r="F1035" s="278"/>
      <c r="G1035" s="278"/>
      <c r="H1035" s="278"/>
      <c r="I1035" s="279"/>
      <c r="J1035" s="278"/>
      <c r="K1035" s="278"/>
      <c r="L1035" s="278"/>
      <c r="M1035" s="212"/>
    </row>
    <row r="1036" spans="1:13">
      <c r="A1036" s="213"/>
      <c r="B1036" s="278"/>
      <c r="C1036" s="278"/>
      <c r="D1036" s="278"/>
      <c r="E1036" s="279"/>
      <c r="F1036" s="278"/>
      <c r="G1036" s="278"/>
      <c r="H1036" s="278"/>
      <c r="I1036" s="279"/>
      <c r="J1036" s="278"/>
      <c r="K1036" s="278"/>
      <c r="L1036" s="278"/>
      <c r="M1036" s="212"/>
    </row>
    <row r="1037" spans="1:13" ht="13.5" customHeight="1">
      <c r="A1037" s="213"/>
      <c r="B1037" s="278"/>
      <c r="C1037" s="278"/>
      <c r="D1037" s="278"/>
      <c r="E1037" s="279"/>
      <c r="F1037" s="278"/>
      <c r="G1037" s="278"/>
      <c r="H1037" s="278"/>
      <c r="I1037" s="279"/>
      <c r="J1037" s="278"/>
      <c r="K1037" s="278"/>
      <c r="L1037" s="278"/>
      <c r="M1037" s="212"/>
    </row>
    <row r="1038" spans="1:13" ht="13.5" customHeight="1">
      <c r="A1038" s="213"/>
      <c r="B1038" s="278"/>
      <c r="C1038" s="278"/>
      <c r="D1038" s="278"/>
      <c r="E1038" s="279"/>
      <c r="F1038" s="278"/>
      <c r="G1038" s="278"/>
      <c r="H1038" s="278"/>
      <c r="I1038" s="279"/>
      <c r="J1038" s="278"/>
      <c r="K1038" s="278"/>
      <c r="L1038" s="278"/>
      <c r="M1038" s="212"/>
    </row>
    <row r="1039" spans="1:13">
      <c r="A1039" s="213"/>
      <c r="B1039" s="279"/>
      <c r="C1039" s="279"/>
      <c r="D1039" s="279"/>
      <c r="E1039" s="279"/>
      <c r="F1039" s="279"/>
      <c r="G1039" s="279"/>
      <c r="H1039" s="279"/>
      <c r="I1039" s="279"/>
      <c r="J1039" s="279"/>
      <c r="K1039" s="279"/>
      <c r="L1039" s="279"/>
      <c r="M1039" s="212"/>
    </row>
    <row r="1040" spans="1:13">
      <c r="A1040" s="213"/>
      <c r="B1040" s="213"/>
      <c r="C1040" s="213"/>
      <c r="D1040" s="213"/>
      <c r="E1040" s="213"/>
      <c r="F1040" s="213"/>
      <c r="G1040" s="213"/>
      <c r="H1040" s="213"/>
      <c r="I1040" s="213"/>
      <c r="J1040" s="213"/>
      <c r="K1040" s="213"/>
      <c r="L1040" s="216"/>
      <c r="M1040" s="212"/>
    </row>
    <row r="1041" spans="1:13">
      <c r="A1041" s="213"/>
      <c r="B1041" s="213"/>
      <c r="C1041" s="213"/>
      <c r="D1041" s="213"/>
      <c r="E1041" s="213"/>
      <c r="F1041" s="213"/>
      <c r="G1041" s="213"/>
      <c r="H1041" s="213"/>
      <c r="I1041" s="213"/>
      <c r="J1041" s="213"/>
      <c r="K1041" s="213"/>
      <c r="L1041" s="260"/>
      <c r="M1041" s="212"/>
    </row>
    <row r="1042" spans="1:13">
      <c r="A1042" s="234"/>
      <c r="B1042" s="217"/>
      <c r="C1042" s="217"/>
      <c r="D1042" s="217"/>
      <c r="E1042" s="217"/>
      <c r="F1042" s="217"/>
      <c r="G1042" s="217"/>
      <c r="H1042" s="217"/>
      <c r="I1042" s="217"/>
      <c r="J1042" s="217"/>
      <c r="K1042" s="217"/>
      <c r="L1042" s="212"/>
      <c r="M1042" s="212"/>
    </row>
    <row r="1043" spans="1:13">
      <c r="A1043" s="217"/>
      <c r="B1043" s="347"/>
      <c r="C1043" s="347"/>
      <c r="D1043" s="347"/>
      <c r="E1043" s="229"/>
      <c r="F1043" s="347"/>
      <c r="G1043" s="347"/>
      <c r="H1043" s="347"/>
      <c r="I1043" s="229"/>
      <c r="J1043" s="347"/>
      <c r="K1043" s="347"/>
      <c r="L1043" s="347"/>
      <c r="M1043" s="212"/>
    </row>
    <row r="1044" spans="1:13">
      <c r="A1044" s="234"/>
      <c r="B1044" s="235"/>
      <c r="C1044" s="235"/>
      <c r="D1044" s="235"/>
      <c r="E1044" s="235"/>
      <c r="F1044" s="235"/>
      <c r="G1044" s="235"/>
      <c r="H1044" s="235"/>
      <c r="I1044" s="235"/>
      <c r="J1044" s="235"/>
      <c r="K1044" s="235"/>
      <c r="L1044" s="235"/>
      <c r="M1044" s="212"/>
    </row>
    <row r="1045" spans="1:13">
      <c r="A1045" s="234"/>
      <c r="B1045" s="235"/>
      <c r="C1045" s="235"/>
      <c r="D1045" s="235"/>
      <c r="E1045" s="235"/>
      <c r="F1045" s="235"/>
      <c r="G1045" s="235"/>
      <c r="H1045" s="235"/>
      <c r="I1045" s="235"/>
      <c r="J1045" s="235"/>
      <c r="K1045" s="235"/>
      <c r="L1045" s="235"/>
      <c r="M1045" s="212"/>
    </row>
    <row r="1046" spans="1:13">
      <c r="A1046" s="213"/>
      <c r="B1046" s="278"/>
      <c r="C1046" s="278"/>
      <c r="D1046" s="278"/>
      <c r="E1046" s="279"/>
      <c r="F1046" s="278"/>
      <c r="G1046" s="278"/>
      <c r="H1046" s="278"/>
      <c r="I1046" s="279"/>
      <c r="J1046" s="278"/>
      <c r="K1046" s="278"/>
      <c r="L1046" s="278"/>
      <c r="M1046" s="212"/>
    </row>
    <row r="1047" spans="1:13">
      <c r="A1047" s="213"/>
      <c r="B1047" s="278"/>
      <c r="C1047" s="278"/>
      <c r="D1047" s="278"/>
      <c r="E1047" s="279"/>
      <c r="F1047" s="278"/>
      <c r="G1047" s="278"/>
      <c r="H1047" s="278"/>
      <c r="I1047" s="279"/>
      <c r="J1047" s="278"/>
      <c r="K1047" s="278"/>
      <c r="L1047" s="278"/>
      <c r="M1047" s="212"/>
    </row>
    <row r="1048" spans="1:13">
      <c r="A1048" s="213"/>
      <c r="B1048" s="278"/>
      <c r="C1048" s="278"/>
      <c r="D1048" s="278"/>
      <c r="E1048" s="279"/>
      <c r="F1048" s="278"/>
      <c r="G1048" s="278"/>
      <c r="H1048" s="278"/>
      <c r="I1048" s="279"/>
      <c r="J1048" s="278"/>
      <c r="K1048" s="278"/>
      <c r="L1048" s="278"/>
      <c r="M1048" s="212"/>
    </row>
    <row r="1049" spans="1:13">
      <c r="A1049" s="213"/>
      <c r="B1049" s="278"/>
      <c r="C1049" s="278"/>
      <c r="D1049" s="278"/>
      <c r="E1049" s="279"/>
      <c r="F1049" s="278"/>
      <c r="G1049" s="278"/>
      <c r="H1049" s="278"/>
      <c r="I1049" s="279"/>
      <c r="J1049" s="278"/>
      <c r="K1049" s="278"/>
      <c r="L1049" s="278"/>
      <c r="M1049" s="212"/>
    </row>
    <row r="1050" spans="1:13">
      <c r="A1050" s="213"/>
      <c r="B1050" s="278"/>
      <c r="C1050" s="278"/>
      <c r="D1050" s="278"/>
      <c r="E1050" s="279"/>
      <c r="F1050" s="278"/>
      <c r="G1050" s="278"/>
      <c r="H1050" s="278"/>
      <c r="I1050" s="279"/>
      <c r="J1050" s="278"/>
      <c r="K1050" s="278"/>
      <c r="L1050" s="278"/>
      <c r="M1050" s="212"/>
    </row>
    <row r="1051" spans="1:13">
      <c r="A1051" s="213"/>
      <c r="B1051" s="278"/>
      <c r="C1051" s="278"/>
      <c r="D1051" s="278"/>
      <c r="E1051" s="279"/>
      <c r="F1051" s="278"/>
      <c r="G1051" s="278"/>
      <c r="H1051" s="278"/>
      <c r="I1051" s="279"/>
      <c r="J1051" s="278"/>
      <c r="K1051" s="278"/>
      <c r="L1051" s="278"/>
      <c r="M1051" s="212"/>
    </row>
    <row r="1052" spans="1:13">
      <c r="A1052" s="213"/>
      <c r="B1052" s="278"/>
      <c r="C1052" s="278"/>
      <c r="D1052" s="278"/>
      <c r="E1052" s="279"/>
      <c r="F1052" s="278"/>
      <c r="G1052" s="278"/>
      <c r="H1052" s="278"/>
      <c r="I1052" s="279"/>
      <c r="J1052" s="278"/>
      <c r="K1052" s="278"/>
      <c r="L1052" s="278"/>
      <c r="M1052" s="212"/>
    </row>
    <row r="1053" spans="1:13">
      <c r="A1053" s="213"/>
      <c r="B1053" s="278"/>
      <c r="C1053" s="278"/>
      <c r="D1053" s="278"/>
      <c r="E1053" s="279"/>
      <c r="F1053" s="278"/>
      <c r="G1053" s="278"/>
      <c r="H1053" s="278"/>
      <c r="I1053" s="279"/>
      <c r="J1053" s="278"/>
      <c r="K1053" s="278"/>
      <c r="L1053" s="278"/>
      <c r="M1053" s="212"/>
    </row>
    <row r="1054" spans="1:13">
      <c r="A1054" s="213"/>
      <c r="B1054" s="278"/>
      <c r="C1054" s="278"/>
      <c r="D1054" s="278"/>
      <c r="E1054" s="279"/>
      <c r="F1054" s="278"/>
      <c r="G1054" s="278"/>
      <c r="H1054" s="278"/>
      <c r="I1054" s="279"/>
      <c r="J1054" s="278"/>
      <c r="K1054" s="278"/>
      <c r="L1054" s="278"/>
      <c r="M1054" s="212"/>
    </row>
    <row r="1055" spans="1:13">
      <c r="A1055" s="213"/>
      <c r="B1055" s="278"/>
      <c r="C1055" s="278"/>
      <c r="D1055" s="278"/>
      <c r="E1055" s="279"/>
      <c r="F1055" s="278"/>
      <c r="G1055" s="278"/>
      <c r="H1055" s="278"/>
      <c r="I1055" s="279"/>
      <c r="J1055" s="278"/>
      <c r="K1055" s="278"/>
      <c r="L1055" s="278"/>
      <c r="M1055" s="212"/>
    </row>
    <row r="1056" spans="1:13">
      <c r="A1056" s="213"/>
      <c r="B1056" s="279"/>
      <c r="C1056" s="279"/>
      <c r="D1056" s="279"/>
      <c r="E1056" s="279"/>
      <c r="F1056" s="279"/>
      <c r="G1056" s="279"/>
      <c r="H1056" s="279"/>
      <c r="I1056" s="279"/>
      <c r="J1056" s="279"/>
      <c r="K1056" s="279"/>
      <c r="L1056" s="279"/>
      <c r="M1056" s="212"/>
    </row>
    <row r="1057" spans="1:13">
      <c r="A1057" s="213"/>
      <c r="B1057" s="213"/>
      <c r="C1057" s="213"/>
      <c r="D1057" s="213"/>
      <c r="E1057" s="213"/>
      <c r="F1057" s="213"/>
      <c r="G1057" s="213"/>
      <c r="H1057" s="213"/>
      <c r="I1057" s="213"/>
      <c r="J1057" s="213"/>
      <c r="K1057" s="213"/>
      <c r="L1057" s="216"/>
      <c r="M1057" s="212"/>
    </row>
    <row r="1058" spans="1:13">
      <c r="A1058" s="213"/>
      <c r="B1058" s="213"/>
      <c r="C1058" s="213"/>
      <c r="D1058" s="213"/>
      <c r="E1058" s="213"/>
      <c r="F1058" s="213"/>
      <c r="G1058" s="213"/>
      <c r="H1058" s="213"/>
      <c r="I1058" s="213"/>
      <c r="J1058" s="213"/>
      <c r="K1058" s="213"/>
      <c r="L1058" s="260"/>
      <c r="M1058" s="212"/>
    </row>
    <row r="1059" spans="1:13">
      <c r="A1059" s="234"/>
      <c r="B1059" s="217"/>
      <c r="C1059" s="217"/>
      <c r="D1059" s="217"/>
      <c r="E1059" s="217"/>
      <c r="F1059" s="217"/>
      <c r="G1059" s="217"/>
      <c r="H1059" s="217"/>
      <c r="I1059" s="217"/>
      <c r="J1059" s="217"/>
      <c r="K1059" s="217"/>
      <c r="L1059" s="212"/>
      <c r="M1059" s="212"/>
    </row>
    <row r="1060" spans="1:13">
      <c r="A1060" s="217"/>
      <c r="B1060" s="347"/>
      <c r="C1060" s="347"/>
      <c r="D1060" s="347"/>
      <c r="E1060" s="229"/>
      <c r="F1060" s="347"/>
      <c r="G1060" s="347"/>
      <c r="H1060" s="347"/>
      <c r="I1060" s="229"/>
      <c r="J1060" s="347"/>
      <c r="K1060" s="347"/>
      <c r="L1060" s="347"/>
      <c r="M1060" s="212"/>
    </row>
    <row r="1061" spans="1:13">
      <c r="A1061" s="234"/>
      <c r="B1061" s="235"/>
      <c r="C1061" s="235"/>
      <c r="D1061" s="235"/>
      <c r="E1061" s="235"/>
      <c r="F1061" s="235"/>
      <c r="G1061" s="235"/>
      <c r="H1061" s="235"/>
      <c r="I1061" s="235"/>
      <c r="J1061" s="235"/>
      <c r="K1061" s="235"/>
      <c r="L1061" s="235"/>
      <c r="M1061" s="212"/>
    </row>
    <row r="1062" spans="1:13">
      <c r="A1062" s="234"/>
      <c r="B1062" s="235"/>
      <c r="C1062" s="235"/>
      <c r="D1062" s="235"/>
      <c r="E1062" s="235"/>
      <c r="F1062" s="235"/>
      <c r="G1062" s="235"/>
      <c r="H1062" s="235"/>
      <c r="I1062" s="235"/>
      <c r="J1062" s="235"/>
      <c r="K1062" s="235"/>
      <c r="L1062" s="235"/>
      <c r="M1062" s="212"/>
    </row>
    <row r="1063" spans="1:13">
      <c r="A1063" s="213"/>
      <c r="B1063" s="278"/>
      <c r="C1063" s="278"/>
      <c r="D1063" s="278"/>
      <c r="E1063" s="279"/>
      <c r="F1063" s="278"/>
      <c r="G1063" s="278"/>
      <c r="H1063" s="278"/>
      <c r="I1063" s="279"/>
      <c r="J1063" s="278"/>
      <c r="K1063" s="278"/>
      <c r="L1063" s="278"/>
      <c r="M1063" s="212"/>
    </row>
    <row r="1064" spans="1:13">
      <c r="A1064" s="213"/>
      <c r="B1064" s="278"/>
      <c r="C1064" s="278"/>
      <c r="D1064" s="278"/>
      <c r="E1064" s="279"/>
      <c r="F1064" s="278"/>
      <c r="G1064" s="278"/>
      <c r="H1064" s="278"/>
      <c r="I1064" s="279"/>
      <c r="J1064" s="278"/>
      <c r="K1064" s="278"/>
      <c r="L1064" s="278"/>
      <c r="M1064" s="212"/>
    </row>
    <row r="1065" spans="1:13">
      <c r="A1065" s="213"/>
      <c r="B1065" s="278"/>
      <c r="C1065" s="278"/>
      <c r="D1065" s="278"/>
      <c r="E1065" s="279"/>
      <c r="F1065" s="278"/>
      <c r="G1065" s="278"/>
      <c r="H1065" s="278"/>
      <c r="I1065" s="279"/>
      <c r="J1065" s="278"/>
      <c r="K1065" s="278"/>
      <c r="L1065" s="278"/>
      <c r="M1065" s="212"/>
    </row>
    <row r="1066" spans="1:13">
      <c r="A1066" s="213"/>
      <c r="B1066" s="278"/>
      <c r="C1066" s="278"/>
      <c r="D1066" s="278"/>
      <c r="E1066" s="279"/>
      <c r="F1066" s="278"/>
      <c r="G1066" s="278"/>
      <c r="H1066" s="278"/>
      <c r="I1066" s="279"/>
      <c r="J1066" s="278"/>
      <c r="K1066" s="278"/>
      <c r="L1066" s="278"/>
      <c r="M1066" s="212"/>
    </row>
    <row r="1067" spans="1:13">
      <c r="A1067" s="213"/>
      <c r="B1067" s="278"/>
      <c r="C1067" s="278"/>
      <c r="D1067" s="278"/>
      <c r="E1067" s="279"/>
      <c r="F1067" s="278"/>
      <c r="G1067" s="278"/>
      <c r="H1067" s="278"/>
      <c r="I1067" s="279"/>
      <c r="J1067" s="278"/>
      <c r="K1067" s="278"/>
      <c r="L1067" s="278"/>
      <c r="M1067" s="212"/>
    </row>
    <row r="1068" spans="1:13">
      <c r="A1068" s="213"/>
      <c r="B1068" s="278"/>
      <c r="C1068" s="278"/>
      <c r="D1068" s="278"/>
      <c r="E1068" s="279"/>
      <c r="F1068" s="278"/>
      <c r="G1068" s="278"/>
      <c r="H1068" s="278"/>
      <c r="I1068" s="279"/>
      <c r="J1068" s="278"/>
      <c r="K1068" s="278"/>
      <c r="L1068" s="278"/>
      <c r="M1068" s="212"/>
    </row>
    <row r="1069" spans="1:13">
      <c r="A1069" s="213"/>
      <c r="B1069" s="278"/>
      <c r="C1069" s="278"/>
      <c r="D1069" s="278"/>
      <c r="E1069" s="279"/>
      <c r="F1069" s="278"/>
      <c r="G1069" s="278"/>
      <c r="H1069" s="278"/>
      <c r="I1069" s="279"/>
      <c r="J1069" s="278"/>
      <c r="K1069" s="278"/>
      <c r="L1069" s="278"/>
      <c r="M1069" s="212"/>
    </row>
    <row r="1070" spans="1:13">
      <c r="A1070" s="213"/>
      <c r="B1070" s="278"/>
      <c r="C1070" s="278"/>
      <c r="D1070" s="278"/>
      <c r="E1070" s="279"/>
      <c r="F1070" s="278"/>
      <c r="G1070" s="278"/>
      <c r="H1070" s="278"/>
      <c r="I1070" s="279"/>
      <c r="J1070" s="278"/>
      <c r="K1070" s="278"/>
      <c r="L1070" s="278"/>
      <c r="M1070" s="212"/>
    </row>
    <row r="1071" spans="1:13">
      <c r="A1071" s="213"/>
      <c r="B1071" s="278"/>
      <c r="C1071" s="278"/>
      <c r="D1071" s="278"/>
      <c r="E1071" s="279"/>
      <c r="F1071" s="278"/>
      <c r="G1071" s="278"/>
      <c r="H1071" s="278"/>
      <c r="I1071" s="279"/>
      <c r="J1071" s="278"/>
      <c r="K1071" s="278"/>
      <c r="L1071" s="278"/>
      <c r="M1071" s="212"/>
    </row>
    <row r="1072" spans="1:13">
      <c r="A1072" s="213"/>
      <c r="B1072" s="278"/>
      <c r="C1072" s="278"/>
      <c r="D1072" s="278"/>
      <c r="E1072" s="279"/>
      <c r="F1072" s="278"/>
      <c r="G1072" s="278"/>
      <c r="H1072" s="278"/>
      <c r="I1072" s="279"/>
      <c r="J1072" s="278"/>
      <c r="K1072" s="278"/>
      <c r="L1072" s="278"/>
      <c r="M1072" s="212"/>
    </row>
    <row r="1073" spans="1:13">
      <c r="A1073" s="213"/>
      <c r="B1073" s="279"/>
      <c r="C1073" s="279"/>
      <c r="D1073" s="279"/>
      <c r="E1073" s="279"/>
      <c r="F1073" s="279"/>
      <c r="G1073" s="279"/>
      <c r="H1073" s="279"/>
      <c r="I1073" s="279"/>
      <c r="J1073" s="279"/>
      <c r="K1073" s="279"/>
      <c r="L1073" s="279"/>
      <c r="M1073" s="212"/>
    </row>
    <row r="1074" spans="1:13">
      <c r="A1074" s="213"/>
      <c r="B1074" s="213"/>
      <c r="C1074" s="213"/>
      <c r="D1074" s="213"/>
      <c r="E1074" s="213"/>
      <c r="F1074" s="213"/>
      <c r="G1074" s="213"/>
      <c r="H1074" s="213"/>
      <c r="I1074" s="213"/>
      <c r="J1074" s="213"/>
      <c r="K1074" s="213"/>
      <c r="L1074" s="216"/>
      <c r="M1074" s="212"/>
    </row>
    <row r="1075" spans="1:13">
      <c r="A1075" s="213"/>
      <c r="B1075" s="213"/>
      <c r="C1075" s="213"/>
      <c r="D1075" s="213"/>
      <c r="E1075" s="213"/>
      <c r="F1075" s="213"/>
      <c r="G1075" s="213"/>
      <c r="H1075" s="213"/>
      <c r="I1075" s="213"/>
      <c r="J1075" s="213"/>
      <c r="K1075" s="213"/>
      <c r="L1075" s="260"/>
      <c r="M1075" s="212"/>
    </row>
    <row r="1076" spans="1:13">
      <c r="A1076" s="234"/>
      <c r="B1076" s="217"/>
      <c r="C1076" s="217"/>
      <c r="D1076" s="217"/>
      <c r="E1076" s="217"/>
      <c r="F1076" s="217"/>
      <c r="G1076" s="217"/>
      <c r="H1076" s="217"/>
      <c r="I1076" s="217"/>
      <c r="J1076" s="217"/>
      <c r="K1076" s="217"/>
      <c r="L1076" s="212"/>
      <c r="M1076" s="212"/>
    </row>
    <row r="1077" spans="1:13">
      <c r="A1077" s="217"/>
      <c r="B1077" s="347"/>
      <c r="C1077" s="347"/>
      <c r="D1077" s="347"/>
      <c r="E1077" s="229"/>
      <c r="F1077" s="347"/>
      <c r="G1077" s="347"/>
      <c r="H1077" s="347"/>
      <c r="I1077" s="229"/>
      <c r="J1077" s="347"/>
      <c r="K1077" s="347"/>
      <c r="L1077" s="347"/>
      <c r="M1077" s="212"/>
    </row>
    <row r="1078" spans="1:13">
      <c r="A1078" s="234"/>
      <c r="B1078" s="235"/>
      <c r="C1078" s="235"/>
      <c r="D1078" s="235"/>
      <c r="E1078" s="235"/>
      <c r="F1078" s="235"/>
      <c r="G1078" s="235"/>
      <c r="H1078" s="235"/>
      <c r="I1078" s="235"/>
      <c r="J1078" s="235"/>
      <c r="K1078" s="235"/>
      <c r="L1078" s="235"/>
      <c r="M1078" s="212"/>
    </row>
    <row r="1079" spans="1:13">
      <c r="A1079" s="234"/>
      <c r="B1079" s="235"/>
      <c r="C1079" s="235"/>
      <c r="D1079" s="235"/>
      <c r="E1079" s="235"/>
      <c r="F1079" s="235"/>
      <c r="G1079" s="235"/>
      <c r="H1079" s="235"/>
      <c r="I1079" s="235"/>
      <c r="J1079" s="235"/>
      <c r="K1079" s="235"/>
      <c r="L1079" s="235"/>
      <c r="M1079" s="212"/>
    </row>
    <row r="1080" spans="1:13">
      <c r="A1080" s="213"/>
      <c r="B1080" s="278"/>
      <c r="C1080" s="278"/>
      <c r="D1080" s="278"/>
      <c r="E1080" s="279"/>
      <c r="F1080" s="278"/>
      <c r="G1080" s="278"/>
      <c r="H1080" s="278"/>
      <c r="I1080" s="279"/>
      <c r="J1080" s="278"/>
      <c r="K1080" s="278"/>
      <c r="L1080" s="278"/>
      <c r="M1080" s="212"/>
    </row>
    <row r="1081" spans="1:13">
      <c r="A1081" s="213"/>
      <c r="B1081" s="278"/>
      <c r="C1081" s="278"/>
      <c r="D1081" s="278"/>
      <c r="E1081" s="279"/>
      <c r="F1081" s="278"/>
      <c r="G1081" s="278"/>
      <c r="H1081" s="278"/>
      <c r="I1081" s="279"/>
      <c r="J1081" s="278"/>
      <c r="K1081" s="278"/>
      <c r="L1081" s="278"/>
      <c r="M1081" s="212"/>
    </row>
    <row r="1082" spans="1:13">
      <c r="A1082" s="213"/>
      <c r="B1082" s="278"/>
      <c r="C1082" s="278"/>
      <c r="D1082" s="278"/>
      <c r="E1082" s="279"/>
      <c r="F1082" s="278"/>
      <c r="G1082" s="278"/>
      <c r="H1082" s="278"/>
      <c r="I1082" s="279"/>
      <c r="J1082" s="278"/>
      <c r="K1082" s="278"/>
      <c r="L1082" s="278"/>
      <c r="M1082" s="212"/>
    </row>
    <row r="1083" spans="1:13">
      <c r="A1083" s="213"/>
      <c r="B1083" s="278"/>
      <c r="C1083" s="278"/>
      <c r="D1083" s="278"/>
      <c r="E1083" s="279"/>
      <c r="F1083" s="278"/>
      <c r="G1083" s="278"/>
      <c r="H1083" s="278"/>
      <c r="I1083" s="279"/>
      <c r="J1083" s="278"/>
      <c r="K1083" s="278"/>
      <c r="L1083" s="278"/>
      <c r="M1083" s="212"/>
    </row>
    <row r="1084" spans="1:13">
      <c r="A1084" s="213"/>
      <c r="B1084" s="278"/>
      <c r="C1084" s="278"/>
      <c r="D1084" s="278"/>
      <c r="E1084" s="279"/>
      <c r="F1084" s="278"/>
      <c r="G1084" s="278"/>
      <c r="H1084" s="278"/>
      <c r="I1084" s="279"/>
      <c r="J1084" s="278"/>
      <c r="K1084" s="278"/>
      <c r="L1084" s="278"/>
      <c r="M1084" s="212"/>
    </row>
    <row r="1085" spans="1:13">
      <c r="A1085" s="213"/>
      <c r="B1085" s="278"/>
      <c r="C1085" s="278"/>
      <c r="D1085" s="278"/>
      <c r="E1085" s="279"/>
      <c r="F1085" s="278"/>
      <c r="G1085" s="278"/>
      <c r="H1085" s="278"/>
      <c r="I1085" s="279"/>
      <c r="J1085" s="278"/>
      <c r="K1085" s="278"/>
      <c r="L1085" s="278"/>
      <c r="M1085" s="212"/>
    </row>
    <row r="1086" spans="1:13">
      <c r="A1086" s="213"/>
      <c r="B1086" s="278"/>
      <c r="C1086" s="278"/>
      <c r="D1086" s="278"/>
      <c r="E1086" s="279"/>
      <c r="F1086" s="278"/>
      <c r="G1086" s="278"/>
      <c r="H1086" s="278"/>
      <c r="I1086" s="279"/>
      <c r="J1086" s="278"/>
      <c r="K1086" s="278"/>
      <c r="L1086" s="278"/>
      <c r="M1086" s="212"/>
    </row>
    <row r="1087" spans="1:13">
      <c r="A1087" s="213"/>
      <c r="B1087" s="278"/>
      <c r="C1087" s="278"/>
      <c r="D1087" s="278"/>
      <c r="E1087" s="279"/>
      <c r="F1087" s="278"/>
      <c r="G1087" s="278"/>
      <c r="H1087" s="278"/>
      <c r="I1087" s="279"/>
      <c r="J1087" s="278"/>
      <c r="K1087" s="278"/>
      <c r="L1087" s="278"/>
      <c r="M1087" s="212"/>
    </row>
    <row r="1088" spans="1:13">
      <c r="A1088" s="213"/>
      <c r="B1088" s="278"/>
      <c r="C1088" s="278"/>
      <c r="D1088" s="278"/>
      <c r="E1088" s="279"/>
      <c r="F1088" s="278"/>
      <c r="G1088" s="278"/>
      <c r="H1088" s="278"/>
      <c r="I1088" s="279"/>
      <c r="J1088" s="278"/>
      <c r="K1088" s="278"/>
      <c r="L1088" s="278"/>
      <c r="M1088" s="212"/>
    </row>
    <row r="1089" spans="1:13">
      <c r="A1089" s="213"/>
      <c r="B1089" s="278"/>
      <c r="C1089" s="278"/>
      <c r="D1089" s="278"/>
      <c r="E1089" s="279"/>
      <c r="F1089" s="278"/>
      <c r="G1089" s="278"/>
      <c r="H1089" s="278"/>
      <c r="I1089" s="279"/>
      <c r="J1089" s="278"/>
      <c r="K1089" s="278"/>
      <c r="L1089" s="278"/>
      <c r="M1089" s="212"/>
    </row>
    <row r="1090" spans="1:13">
      <c r="A1090" s="213"/>
      <c r="B1090" s="279"/>
      <c r="C1090" s="279"/>
      <c r="D1090" s="279"/>
      <c r="E1090" s="279"/>
      <c r="F1090" s="279"/>
      <c r="G1090" s="279"/>
      <c r="H1090" s="279"/>
      <c r="I1090" s="279"/>
      <c r="J1090" s="279"/>
      <c r="K1090" s="279"/>
      <c r="L1090" s="279"/>
      <c r="M1090" s="212"/>
    </row>
    <row r="1091" spans="1:13">
      <c r="A1091" s="213"/>
      <c r="B1091" s="213"/>
      <c r="C1091" s="213"/>
      <c r="D1091" s="213"/>
      <c r="E1091" s="213"/>
      <c r="F1091" s="213"/>
      <c r="G1091" s="213"/>
      <c r="H1091" s="213"/>
      <c r="I1091" s="213"/>
      <c r="J1091" s="213"/>
      <c r="K1091" s="213"/>
      <c r="L1091" s="216"/>
      <c r="M1091" s="212"/>
    </row>
    <row r="1092" spans="1:13">
      <c r="A1092" s="213"/>
      <c r="B1092" s="213"/>
      <c r="C1092" s="213"/>
      <c r="D1092" s="213"/>
      <c r="E1092" s="213"/>
      <c r="F1092" s="213"/>
      <c r="G1092" s="213"/>
      <c r="H1092" s="213"/>
      <c r="I1092" s="213"/>
      <c r="J1092" s="213"/>
      <c r="K1092" s="213"/>
      <c r="L1092" s="260"/>
      <c r="M1092" s="212"/>
    </row>
    <row r="1093" spans="1:13">
      <c r="A1093" s="234"/>
      <c r="B1093" s="217"/>
      <c r="C1093" s="217"/>
      <c r="D1093" s="217"/>
      <c r="E1093" s="217"/>
      <c r="F1093" s="217"/>
      <c r="G1093" s="217"/>
      <c r="H1093" s="217"/>
      <c r="I1093" s="217"/>
      <c r="J1093" s="217"/>
      <c r="K1093" s="217"/>
      <c r="L1093" s="212"/>
      <c r="M1093" s="212"/>
    </row>
    <row r="1094" spans="1:13">
      <c r="A1094" s="217"/>
      <c r="B1094" s="347"/>
      <c r="C1094" s="347"/>
      <c r="D1094" s="347"/>
      <c r="E1094" s="229"/>
      <c r="F1094" s="347"/>
      <c r="G1094" s="347"/>
      <c r="H1094" s="347"/>
      <c r="I1094" s="229"/>
      <c r="J1094" s="347"/>
      <c r="K1094" s="347"/>
      <c r="L1094" s="347"/>
      <c r="M1094" s="212"/>
    </row>
    <row r="1095" spans="1:13">
      <c r="A1095" s="234"/>
      <c r="B1095" s="235"/>
      <c r="C1095" s="235"/>
      <c r="D1095" s="235"/>
      <c r="E1095" s="235"/>
      <c r="F1095" s="235"/>
      <c r="G1095" s="235"/>
      <c r="H1095" s="235"/>
      <c r="I1095" s="235"/>
      <c r="J1095" s="235"/>
      <c r="K1095" s="235"/>
      <c r="L1095" s="235"/>
      <c r="M1095" s="212"/>
    </row>
    <row r="1096" spans="1:13">
      <c r="A1096" s="234"/>
      <c r="B1096" s="235"/>
      <c r="C1096" s="235"/>
      <c r="D1096" s="235"/>
      <c r="E1096" s="235"/>
      <c r="F1096" s="235"/>
      <c r="G1096" s="235"/>
      <c r="H1096" s="235"/>
      <c r="I1096" s="235"/>
      <c r="J1096" s="235"/>
      <c r="K1096" s="235"/>
      <c r="L1096" s="235"/>
      <c r="M1096" s="212"/>
    </row>
    <row r="1097" spans="1:13">
      <c r="A1097" s="213"/>
      <c r="B1097" s="278"/>
      <c r="C1097" s="278"/>
      <c r="D1097" s="278"/>
      <c r="E1097" s="279"/>
      <c r="F1097" s="278"/>
      <c r="G1097" s="278"/>
      <c r="H1097" s="278"/>
      <c r="I1097" s="279"/>
      <c r="J1097" s="278"/>
      <c r="K1097" s="278"/>
      <c r="L1097" s="278"/>
      <c r="M1097" s="212"/>
    </row>
    <row r="1098" spans="1:13">
      <c r="A1098" s="213"/>
      <c r="B1098" s="278"/>
      <c r="C1098" s="278"/>
      <c r="D1098" s="278"/>
      <c r="E1098" s="279"/>
      <c r="F1098" s="278"/>
      <c r="G1098" s="278"/>
      <c r="H1098" s="278"/>
      <c r="I1098" s="279"/>
      <c r="J1098" s="278"/>
      <c r="K1098" s="278"/>
      <c r="L1098" s="278"/>
      <c r="M1098" s="212"/>
    </row>
    <row r="1099" spans="1:13">
      <c r="A1099" s="213"/>
      <c r="B1099" s="278"/>
      <c r="C1099" s="278"/>
      <c r="D1099" s="278"/>
      <c r="E1099" s="279"/>
      <c r="F1099" s="278"/>
      <c r="G1099" s="278"/>
      <c r="H1099" s="278"/>
      <c r="I1099" s="279"/>
      <c r="J1099" s="278"/>
      <c r="K1099" s="278"/>
      <c r="L1099" s="278"/>
      <c r="M1099" s="212"/>
    </row>
    <row r="1100" spans="1:13">
      <c r="A1100" s="213"/>
      <c r="B1100" s="278"/>
      <c r="C1100" s="278"/>
      <c r="D1100" s="278"/>
      <c r="E1100" s="279"/>
      <c r="F1100" s="278"/>
      <c r="G1100" s="278"/>
      <c r="H1100" s="278"/>
      <c r="I1100" s="279"/>
      <c r="J1100" s="278"/>
      <c r="K1100" s="278"/>
      <c r="L1100" s="278"/>
      <c r="M1100" s="212"/>
    </row>
    <row r="1101" spans="1:13">
      <c r="A1101" s="213"/>
      <c r="B1101" s="278"/>
      <c r="C1101" s="278"/>
      <c r="D1101" s="278"/>
      <c r="E1101" s="279"/>
      <c r="F1101" s="278"/>
      <c r="G1101" s="278"/>
      <c r="H1101" s="278"/>
      <c r="I1101" s="279"/>
      <c r="J1101" s="278"/>
      <c r="K1101" s="278"/>
      <c r="L1101" s="278"/>
      <c r="M1101" s="212"/>
    </row>
    <row r="1102" spans="1:13">
      <c r="A1102" s="213"/>
      <c r="B1102" s="278"/>
      <c r="C1102" s="278"/>
      <c r="D1102" s="278"/>
      <c r="E1102" s="279"/>
      <c r="F1102" s="278"/>
      <c r="G1102" s="278"/>
      <c r="H1102" s="278"/>
      <c r="I1102" s="279"/>
      <c r="J1102" s="278"/>
      <c r="K1102" s="278"/>
      <c r="L1102" s="278"/>
      <c r="M1102" s="212"/>
    </row>
    <row r="1103" spans="1:13">
      <c r="A1103" s="213"/>
      <c r="B1103" s="278"/>
      <c r="C1103" s="278"/>
      <c r="D1103" s="278"/>
      <c r="E1103" s="279"/>
      <c r="F1103" s="278"/>
      <c r="G1103" s="278"/>
      <c r="H1103" s="278"/>
      <c r="I1103" s="279"/>
      <c r="J1103" s="278"/>
      <c r="K1103" s="278"/>
      <c r="L1103" s="278"/>
      <c r="M1103" s="212"/>
    </row>
    <row r="1104" spans="1:13">
      <c r="A1104" s="213"/>
      <c r="B1104" s="278"/>
      <c r="C1104" s="278"/>
      <c r="D1104" s="278"/>
      <c r="E1104" s="279"/>
      <c r="F1104" s="278"/>
      <c r="G1104" s="278"/>
      <c r="H1104" s="278"/>
      <c r="I1104" s="279"/>
      <c r="J1104" s="278"/>
      <c r="K1104" s="278"/>
      <c r="L1104" s="278"/>
      <c r="M1104" s="212"/>
    </row>
    <row r="1105" spans="1:13">
      <c r="A1105" s="213"/>
      <c r="B1105" s="278"/>
      <c r="C1105" s="278"/>
      <c r="D1105" s="278"/>
      <c r="E1105" s="279"/>
      <c r="F1105" s="278"/>
      <c r="G1105" s="278"/>
      <c r="H1105" s="278"/>
      <c r="I1105" s="279"/>
      <c r="J1105" s="278"/>
      <c r="K1105" s="278"/>
      <c r="L1105" s="278"/>
      <c r="M1105" s="212"/>
    </row>
    <row r="1106" spans="1:13">
      <c r="A1106" s="213"/>
      <c r="B1106" s="278"/>
      <c r="C1106" s="278"/>
      <c r="D1106" s="278"/>
      <c r="E1106" s="279"/>
      <c r="F1106" s="278"/>
      <c r="G1106" s="278"/>
      <c r="H1106" s="278"/>
      <c r="I1106" s="279"/>
      <c r="J1106" s="278"/>
      <c r="K1106" s="278"/>
      <c r="L1106" s="278"/>
      <c r="M1106" s="212"/>
    </row>
    <row r="1107" spans="1:13">
      <c r="A1107" s="213"/>
      <c r="B1107" s="279"/>
      <c r="C1107" s="279"/>
      <c r="D1107" s="279"/>
      <c r="E1107" s="279"/>
      <c r="F1107" s="279"/>
      <c r="G1107" s="279"/>
      <c r="H1107" s="279"/>
      <c r="I1107" s="279"/>
      <c r="J1107" s="279"/>
      <c r="K1107" s="279"/>
      <c r="L1107" s="279"/>
      <c r="M1107" s="212"/>
    </row>
    <row r="1108" spans="1:13">
      <c r="A1108" s="213"/>
      <c r="B1108" s="213"/>
      <c r="C1108" s="213"/>
      <c r="D1108" s="213"/>
      <c r="E1108" s="213"/>
      <c r="F1108" s="213"/>
      <c r="G1108" s="213"/>
      <c r="H1108" s="213"/>
      <c r="I1108" s="213"/>
      <c r="J1108" s="213"/>
      <c r="K1108" s="213"/>
      <c r="L1108" s="216"/>
      <c r="M1108" s="212"/>
    </row>
    <row r="1109" spans="1:13">
      <c r="A1109" s="213"/>
      <c r="B1109" s="213"/>
      <c r="C1109" s="213"/>
      <c r="D1109" s="213"/>
      <c r="E1109" s="213"/>
      <c r="F1109" s="213"/>
      <c r="G1109" s="213"/>
      <c r="H1109" s="213"/>
      <c r="I1109" s="213"/>
      <c r="J1109" s="213"/>
      <c r="K1109" s="213"/>
      <c r="L1109" s="260"/>
      <c r="M1109" s="212"/>
    </row>
    <row r="1110" spans="1:13">
      <c r="A1110" s="234"/>
      <c r="B1110" s="217"/>
      <c r="C1110" s="217"/>
      <c r="D1110" s="217"/>
      <c r="E1110" s="217"/>
      <c r="F1110" s="217"/>
      <c r="G1110" s="217"/>
      <c r="H1110" s="217"/>
      <c r="I1110" s="217"/>
      <c r="J1110" s="217"/>
      <c r="K1110" s="217"/>
      <c r="L1110" s="212"/>
      <c r="M1110" s="212"/>
    </row>
    <row r="1111" spans="1:13">
      <c r="A1111" s="217"/>
      <c r="B1111" s="347"/>
      <c r="C1111" s="347"/>
      <c r="D1111" s="347"/>
      <c r="E1111" s="229"/>
      <c r="F1111" s="347"/>
      <c r="G1111" s="347"/>
      <c r="H1111" s="347"/>
      <c r="I1111" s="229"/>
      <c r="J1111" s="347"/>
      <c r="K1111" s="347"/>
      <c r="L1111" s="347"/>
      <c r="M1111" s="212"/>
    </row>
    <row r="1112" spans="1:13">
      <c r="A1112" s="234"/>
      <c r="B1112" s="235"/>
      <c r="C1112" s="235"/>
      <c r="D1112" s="235"/>
      <c r="E1112" s="235"/>
      <c r="F1112" s="235"/>
      <c r="G1112" s="235"/>
      <c r="H1112" s="235"/>
      <c r="I1112" s="235"/>
      <c r="J1112" s="235"/>
      <c r="K1112" s="235"/>
      <c r="L1112" s="235"/>
      <c r="M1112" s="212"/>
    </row>
    <row r="1113" spans="1:13">
      <c r="A1113" s="234"/>
      <c r="B1113" s="235"/>
      <c r="C1113" s="235"/>
      <c r="D1113" s="235"/>
      <c r="E1113" s="235"/>
      <c r="F1113" s="235"/>
      <c r="G1113" s="235"/>
      <c r="H1113" s="235"/>
      <c r="I1113" s="235"/>
      <c r="J1113" s="235"/>
      <c r="K1113" s="235"/>
      <c r="L1113" s="235"/>
      <c r="M1113" s="212"/>
    </row>
    <row r="1114" spans="1:13">
      <c r="A1114" s="213"/>
      <c r="B1114" s="278"/>
      <c r="C1114" s="278"/>
      <c r="D1114" s="278"/>
      <c r="E1114" s="279"/>
      <c r="F1114" s="278"/>
      <c r="G1114" s="278"/>
      <c r="H1114" s="278"/>
      <c r="I1114" s="279"/>
      <c r="J1114" s="278"/>
      <c r="K1114" s="278"/>
      <c r="L1114" s="278"/>
      <c r="M1114" s="212"/>
    </row>
    <row r="1115" spans="1:13">
      <c r="A1115" s="213"/>
      <c r="B1115" s="278"/>
      <c r="C1115" s="278"/>
      <c r="D1115" s="278"/>
      <c r="E1115" s="279"/>
      <c r="F1115" s="278"/>
      <c r="G1115" s="278"/>
      <c r="H1115" s="278"/>
      <c r="I1115" s="279"/>
      <c r="J1115" s="278"/>
      <c r="K1115" s="278"/>
      <c r="L1115" s="278"/>
      <c r="M1115" s="212"/>
    </row>
    <row r="1116" spans="1:13">
      <c r="A1116" s="213"/>
      <c r="B1116" s="278"/>
      <c r="C1116" s="278"/>
      <c r="D1116" s="278"/>
      <c r="E1116" s="279"/>
      <c r="F1116" s="278"/>
      <c r="G1116" s="278"/>
      <c r="H1116" s="278"/>
      <c r="I1116" s="279"/>
      <c r="J1116" s="278"/>
      <c r="K1116" s="278"/>
      <c r="L1116" s="278"/>
      <c r="M1116" s="212"/>
    </row>
    <row r="1117" spans="1:13">
      <c r="A1117" s="213"/>
      <c r="B1117" s="278"/>
      <c r="C1117" s="278"/>
      <c r="D1117" s="278"/>
      <c r="E1117" s="279"/>
      <c r="F1117" s="278"/>
      <c r="G1117" s="278"/>
      <c r="H1117" s="278"/>
      <c r="I1117" s="279"/>
      <c r="J1117" s="278"/>
      <c r="K1117" s="278"/>
      <c r="L1117" s="278"/>
      <c r="M1117" s="212"/>
    </row>
    <row r="1118" spans="1:13">
      <c r="A1118" s="213"/>
      <c r="B1118" s="278"/>
      <c r="C1118" s="278"/>
      <c r="D1118" s="278"/>
      <c r="E1118" s="279"/>
      <c r="F1118" s="278"/>
      <c r="G1118" s="278"/>
      <c r="H1118" s="278"/>
      <c r="I1118" s="279"/>
      <c r="J1118" s="278"/>
      <c r="K1118" s="278"/>
      <c r="L1118" s="278"/>
      <c r="M1118" s="212"/>
    </row>
    <row r="1119" spans="1:13">
      <c r="A1119" s="213"/>
      <c r="B1119" s="278"/>
      <c r="C1119" s="278"/>
      <c r="D1119" s="278"/>
      <c r="E1119" s="279"/>
      <c r="F1119" s="278"/>
      <c r="G1119" s="278"/>
      <c r="H1119" s="278"/>
      <c r="I1119" s="279"/>
      <c r="J1119" s="278"/>
      <c r="K1119" s="278"/>
      <c r="L1119" s="278"/>
      <c r="M1119" s="212"/>
    </row>
    <row r="1120" spans="1:13">
      <c r="A1120" s="213"/>
      <c r="B1120" s="278"/>
      <c r="C1120" s="278"/>
      <c r="D1120" s="278"/>
      <c r="E1120" s="279"/>
      <c r="F1120" s="278"/>
      <c r="G1120" s="278"/>
      <c r="H1120" s="278"/>
      <c r="I1120" s="279"/>
      <c r="J1120" s="278"/>
      <c r="K1120" s="278"/>
      <c r="L1120" s="278"/>
      <c r="M1120" s="212"/>
    </row>
    <row r="1121" spans="1:13">
      <c r="A1121" s="213"/>
      <c r="B1121" s="278"/>
      <c r="C1121" s="278"/>
      <c r="D1121" s="278"/>
      <c r="E1121" s="279"/>
      <c r="F1121" s="278"/>
      <c r="G1121" s="278"/>
      <c r="H1121" s="278"/>
      <c r="I1121" s="279"/>
      <c r="J1121" s="278"/>
      <c r="K1121" s="278"/>
      <c r="L1121" s="278"/>
      <c r="M1121" s="212"/>
    </row>
    <row r="1122" spans="1:13">
      <c r="A1122" s="213"/>
      <c r="B1122" s="278"/>
      <c r="C1122" s="278"/>
      <c r="D1122" s="278"/>
      <c r="E1122" s="279"/>
      <c r="F1122" s="278"/>
      <c r="G1122" s="278"/>
      <c r="H1122" s="278"/>
      <c r="I1122" s="279"/>
      <c r="J1122" s="278"/>
      <c r="K1122" s="278"/>
      <c r="L1122" s="278"/>
      <c r="M1122" s="212"/>
    </row>
    <row r="1123" spans="1:13">
      <c r="A1123" s="213"/>
      <c r="B1123" s="278"/>
      <c r="C1123" s="278"/>
      <c r="D1123" s="278"/>
      <c r="E1123" s="279"/>
      <c r="F1123" s="278"/>
      <c r="G1123" s="278"/>
      <c r="H1123" s="278"/>
      <c r="I1123" s="279"/>
      <c r="J1123" s="278"/>
      <c r="K1123" s="278"/>
      <c r="L1123" s="278"/>
      <c r="M1123" s="212"/>
    </row>
    <row r="1124" spans="1:13">
      <c r="A1124" s="213"/>
      <c r="B1124" s="279"/>
      <c r="C1124" s="279"/>
      <c r="D1124" s="279"/>
      <c r="E1124" s="279"/>
      <c r="F1124" s="279"/>
      <c r="G1124" s="279"/>
      <c r="H1124" s="279"/>
      <c r="I1124" s="279"/>
      <c r="J1124" s="279"/>
      <c r="K1124" s="279"/>
      <c r="L1124" s="279"/>
      <c r="M1124" s="212"/>
    </row>
    <row r="1125" spans="1:13">
      <c r="A1125" s="213"/>
      <c r="B1125" s="213"/>
      <c r="C1125" s="213"/>
      <c r="D1125" s="213"/>
      <c r="E1125" s="213"/>
      <c r="F1125" s="213"/>
      <c r="G1125" s="213"/>
      <c r="H1125" s="213"/>
      <c r="I1125" s="213"/>
      <c r="J1125" s="213"/>
      <c r="K1125" s="213"/>
      <c r="L1125" s="216"/>
      <c r="M1125" s="212"/>
    </row>
    <row r="1126" spans="1:13">
      <c r="A1126" s="213"/>
      <c r="B1126" s="213"/>
      <c r="C1126" s="213"/>
      <c r="D1126" s="213"/>
      <c r="E1126" s="213"/>
      <c r="F1126" s="213"/>
      <c r="G1126" s="213"/>
      <c r="H1126" s="213"/>
      <c r="I1126" s="213"/>
      <c r="J1126" s="213"/>
      <c r="K1126" s="213"/>
      <c r="L1126" s="260"/>
      <c r="M1126" s="212"/>
    </row>
    <row r="1127" spans="1:13">
      <c r="A1127" s="234"/>
      <c r="B1127" s="217"/>
      <c r="C1127" s="217"/>
      <c r="D1127" s="217"/>
      <c r="E1127" s="217"/>
      <c r="F1127" s="217"/>
      <c r="G1127" s="217"/>
      <c r="H1127" s="217"/>
      <c r="I1127" s="217"/>
      <c r="J1127" s="217"/>
      <c r="K1127" s="217"/>
      <c r="L1127" s="212"/>
      <c r="M1127" s="212"/>
    </row>
    <row r="1128" spans="1:13">
      <c r="A1128" s="217"/>
      <c r="B1128" s="347"/>
      <c r="C1128" s="347"/>
      <c r="D1128" s="347"/>
      <c r="E1128" s="229"/>
      <c r="F1128" s="347"/>
      <c r="G1128" s="347"/>
      <c r="H1128" s="347"/>
      <c r="I1128" s="229"/>
      <c r="J1128" s="347"/>
      <c r="K1128" s="347"/>
      <c r="L1128" s="347"/>
      <c r="M1128" s="212"/>
    </row>
    <row r="1129" spans="1:13">
      <c r="A1129" s="234"/>
      <c r="B1129" s="235"/>
      <c r="C1129" s="235"/>
      <c r="D1129" s="235"/>
      <c r="E1129" s="235"/>
      <c r="F1129" s="235"/>
      <c r="G1129" s="235"/>
      <c r="H1129" s="235"/>
      <c r="I1129" s="235"/>
      <c r="J1129" s="235"/>
      <c r="K1129" s="235"/>
      <c r="L1129" s="235"/>
      <c r="M1129" s="212"/>
    </row>
    <row r="1130" spans="1:13">
      <c r="A1130" s="234"/>
      <c r="B1130" s="235"/>
      <c r="C1130" s="235"/>
      <c r="D1130" s="235"/>
      <c r="E1130" s="235"/>
      <c r="F1130" s="235"/>
      <c r="G1130" s="235"/>
      <c r="H1130" s="235"/>
      <c r="I1130" s="235"/>
      <c r="J1130" s="235"/>
      <c r="K1130" s="235"/>
      <c r="L1130" s="235"/>
      <c r="M1130" s="212"/>
    </row>
    <row r="1131" spans="1:13">
      <c r="A1131" s="213"/>
      <c r="B1131" s="278"/>
      <c r="C1131" s="278"/>
      <c r="D1131" s="278"/>
      <c r="E1131" s="279"/>
      <c r="F1131" s="278"/>
      <c r="G1131" s="278"/>
      <c r="H1131" s="278"/>
      <c r="I1131" s="279"/>
      <c r="J1131" s="278"/>
      <c r="K1131" s="278"/>
      <c r="L1131" s="278"/>
      <c r="M1131" s="212"/>
    </row>
    <row r="1132" spans="1:13">
      <c r="A1132" s="213"/>
      <c r="B1132" s="278"/>
      <c r="C1132" s="278"/>
      <c r="D1132" s="278"/>
      <c r="E1132" s="279"/>
      <c r="F1132" s="278"/>
      <c r="G1132" s="278"/>
      <c r="H1132" s="278"/>
      <c r="I1132" s="279"/>
      <c r="J1132" s="278"/>
      <c r="K1132" s="278"/>
      <c r="L1132" s="278"/>
      <c r="M1132" s="212"/>
    </row>
    <row r="1133" spans="1:13">
      <c r="A1133" s="213"/>
      <c r="B1133" s="278"/>
      <c r="C1133" s="278"/>
      <c r="D1133" s="278"/>
      <c r="E1133" s="279"/>
      <c r="F1133" s="278"/>
      <c r="G1133" s="278"/>
      <c r="H1133" s="278"/>
      <c r="I1133" s="279"/>
      <c r="J1133" s="278"/>
      <c r="K1133" s="278"/>
      <c r="L1133" s="278"/>
      <c r="M1133" s="212"/>
    </row>
    <row r="1134" spans="1:13">
      <c r="A1134" s="213"/>
      <c r="B1134" s="278"/>
      <c r="C1134" s="278"/>
      <c r="D1134" s="278"/>
      <c r="E1134" s="279"/>
      <c r="F1134" s="278"/>
      <c r="G1134" s="278"/>
      <c r="H1134" s="278"/>
      <c r="I1134" s="279"/>
      <c r="J1134" s="278"/>
      <c r="K1134" s="278"/>
      <c r="L1134" s="278"/>
      <c r="M1134" s="212"/>
    </row>
    <row r="1135" spans="1:13">
      <c r="A1135" s="213"/>
      <c r="B1135" s="278"/>
      <c r="C1135" s="278"/>
      <c r="D1135" s="278"/>
      <c r="E1135" s="279"/>
      <c r="F1135" s="278"/>
      <c r="G1135" s="278"/>
      <c r="H1135" s="278"/>
      <c r="I1135" s="279"/>
      <c r="J1135" s="278"/>
      <c r="K1135" s="278"/>
      <c r="L1135" s="278"/>
      <c r="M1135" s="212"/>
    </row>
    <row r="1136" spans="1:13">
      <c r="A1136" s="213"/>
      <c r="B1136" s="278"/>
      <c r="C1136" s="278"/>
      <c r="D1136" s="278"/>
      <c r="E1136" s="279"/>
      <c r="F1136" s="278"/>
      <c r="G1136" s="278"/>
      <c r="H1136" s="278"/>
      <c r="I1136" s="279"/>
      <c r="J1136" s="278"/>
      <c r="K1136" s="278"/>
      <c r="L1136" s="278"/>
      <c r="M1136" s="212"/>
    </row>
    <row r="1137" spans="1:13">
      <c r="A1137" s="213"/>
      <c r="B1137" s="278"/>
      <c r="C1137" s="278"/>
      <c r="D1137" s="278"/>
      <c r="E1137" s="279"/>
      <c r="F1137" s="278"/>
      <c r="G1137" s="278"/>
      <c r="H1137" s="278"/>
      <c r="I1137" s="279"/>
      <c r="J1137" s="278"/>
      <c r="K1137" s="278"/>
      <c r="L1137" s="278"/>
      <c r="M1137" s="212"/>
    </row>
    <row r="1138" spans="1:13">
      <c r="A1138" s="213"/>
      <c r="B1138" s="278"/>
      <c r="C1138" s="278"/>
      <c r="D1138" s="278"/>
      <c r="E1138" s="279"/>
      <c r="F1138" s="278"/>
      <c r="G1138" s="278"/>
      <c r="H1138" s="278"/>
      <c r="I1138" s="279"/>
      <c r="J1138" s="278"/>
      <c r="K1138" s="278"/>
      <c r="L1138" s="278"/>
      <c r="M1138" s="212"/>
    </row>
    <row r="1139" spans="1:13">
      <c r="A1139" s="213"/>
      <c r="B1139" s="278"/>
      <c r="C1139" s="278"/>
      <c r="D1139" s="278"/>
      <c r="E1139" s="279"/>
      <c r="F1139" s="278"/>
      <c r="G1139" s="278"/>
      <c r="H1139" s="278"/>
      <c r="I1139" s="279"/>
      <c r="J1139" s="278"/>
      <c r="K1139" s="278"/>
      <c r="L1139" s="278"/>
      <c r="M1139" s="212"/>
    </row>
    <row r="1140" spans="1:13">
      <c r="A1140" s="213"/>
      <c r="B1140" s="278"/>
      <c r="C1140" s="278"/>
      <c r="D1140" s="278"/>
      <c r="E1140" s="279"/>
      <c r="F1140" s="278"/>
      <c r="G1140" s="278"/>
      <c r="H1140" s="278"/>
      <c r="I1140" s="279"/>
      <c r="J1140" s="278"/>
      <c r="K1140" s="278"/>
      <c r="L1140" s="278"/>
      <c r="M1140" s="212"/>
    </row>
    <row r="1141" spans="1:13">
      <c r="A1141" s="213"/>
      <c r="B1141" s="279"/>
      <c r="C1141" s="279"/>
      <c r="D1141" s="279"/>
      <c r="E1141" s="279"/>
      <c r="F1141" s="279"/>
      <c r="G1141" s="279"/>
      <c r="H1141" s="279"/>
      <c r="I1141" s="279"/>
      <c r="J1141" s="279"/>
      <c r="K1141" s="279"/>
      <c r="L1141" s="279"/>
      <c r="M1141" s="212"/>
    </row>
    <row r="1142" spans="1:13">
      <c r="A1142" s="213"/>
      <c r="B1142" s="213"/>
      <c r="C1142" s="213"/>
      <c r="D1142" s="213"/>
      <c r="E1142" s="213"/>
      <c r="F1142" s="213"/>
      <c r="G1142" s="213"/>
      <c r="H1142" s="213"/>
      <c r="I1142" s="213"/>
      <c r="J1142" s="213"/>
      <c r="K1142" s="213"/>
      <c r="L1142" s="216"/>
      <c r="M1142" s="212"/>
    </row>
    <row r="1143" spans="1:13">
      <c r="A1143" s="213"/>
      <c r="B1143" s="213"/>
      <c r="C1143" s="213"/>
      <c r="D1143" s="213"/>
      <c r="E1143" s="213"/>
      <c r="F1143" s="213"/>
      <c r="G1143" s="213"/>
      <c r="H1143" s="213"/>
      <c r="I1143" s="213"/>
      <c r="J1143" s="213"/>
      <c r="K1143" s="213"/>
      <c r="L1143" s="260"/>
      <c r="M1143" s="212"/>
    </row>
    <row r="1144" spans="1:13">
      <c r="A1144" s="234"/>
      <c r="B1144" s="217"/>
      <c r="C1144" s="217"/>
      <c r="D1144" s="217"/>
      <c r="E1144" s="217"/>
      <c r="F1144" s="217"/>
      <c r="G1144" s="217"/>
      <c r="H1144" s="217"/>
      <c r="I1144" s="217"/>
      <c r="J1144" s="217"/>
      <c r="K1144" s="217"/>
      <c r="L1144" s="212"/>
      <c r="M1144" s="212"/>
    </row>
    <row r="1145" spans="1:13">
      <c r="A1145" s="217"/>
      <c r="B1145" s="347"/>
      <c r="C1145" s="347"/>
      <c r="D1145" s="347"/>
      <c r="E1145" s="229"/>
      <c r="F1145" s="347"/>
      <c r="G1145" s="347"/>
      <c r="H1145" s="347"/>
      <c r="I1145" s="229"/>
      <c r="J1145" s="347"/>
      <c r="K1145" s="347"/>
      <c r="L1145" s="347"/>
      <c r="M1145" s="212"/>
    </row>
    <row r="1146" spans="1:13">
      <c r="A1146" s="234"/>
      <c r="B1146" s="235"/>
      <c r="C1146" s="235"/>
      <c r="D1146" s="235"/>
      <c r="E1146" s="235"/>
      <c r="F1146" s="235"/>
      <c r="G1146" s="235"/>
      <c r="H1146" s="235"/>
      <c r="I1146" s="235"/>
      <c r="J1146" s="235"/>
      <c r="K1146" s="235"/>
      <c r="L1146" s="235"/>
      <c r="M1146" s="212"/>
    </row>
    <row r="1147" spans="1:13">
      <c r="A1147" s="234"/>
      <c r="B1147" s="235"/>
      <c r="C1147" s="235"/>
      <c r="D1147" s="235"/>
      <c r="E1147" s="235"/>
      <c r="F1147" s="235"/>
      <c r="G1147" s="235"/>
      <c r="H1147" s="235"/>
      <c r="I1147" s="235"/>
      <c r="J1147" s="235"/>
      <c r="K1147" s="235"/>
      <c r="L1147" s="235"/>
      <c r="M1147" s="212"/>
    </row>
    <row r="1148" spans="1:13">
      <c r="A1148" s="213"/>
      <c r="B1148" s="278"/>
      <c r="C1148" s="278"/>
      <c r="D1148" s="278"/>
      <c r="E1148" s="279"/>
      <c r="F1148" s="278"/>
      <c r="G1148" s="278"/>
      <c r="H1148" s="278"/>
      <c r="I1148" s="279"/>
      <c r="J1148" s="278"/>
      <c r="K1148" s="278"/>
      <c r="L1148" s="278"/>
      <c r="M1148" s="212"/>
    </row>
    <row r="1149" spans="1:13">
      <c r="A1149" s="213"/>
      <c r="B1149" s="278"/>
      <c r="C1149" s="278"/>
      <c r="D1149" s="278"/>
      <c r="E1149" s="279"/>
      <c r="F1149" s="278"/>
      <c r="G1149" s="278"/>
      <c r="H1149" s="278"/>
      <c r="I1149" s="279"/>
      <c r="J1149" s="278"/>
      <c r="K1149" s="278"/>
      <c r="L1149" s="278"/>
      <c r="M1149" s="212"/>
    </row>
    <row r="1150" spans="1:13">
      <c r="A1150" s="213"/>
      <c r="B1150" s="278"/>
      <c r="C1150" s="278"/>
      <c r="D1150" s="278"/>
      <c r="E1150" s="279"/>
      <c r="F1150" s="278"/>
      <c r="G1150" s="278"/>
      <c r="H1150" s="278"/>
      <c r="I1150" s="279"/>
      <c r="J1150" s="278"/>
      <c r="K1150" s="278"/>
      <c r="L1150" s="278"/>
      <c r="M1150" s="212"/>
    </row>
    <row r="1151" spans="1:13">
      <c r="A1151" s="213"/>
      <c r="B1151" s="278"/>
      <c r="C1151" s="278"/>
      <c r="D1151" s="278"/>
      <c r="E1151" s="279"/>
      <c r="F1151" s="278"/>
      <c r="G1151" s="278"/>
      <c r="H1151" s="278"/>
      <c r="I1151" s="279"/>
      <c r="J1151" s="278"/>
      <c r="K1151" s="278"/>
      <c r="L1151" s="278"/>
      <c r="M1151" s="212"/>
    </row>
    <row r="1152" spans="1:13">
      <c r="A1152" s="213"/>
      <c r="B1152" s="278"/>
      <c r="C1152" s="278"/>
      <c r="D1152" s="278"/>
      <c r="E1152" s="279"/>
      <c r="F1152" s="278"/>
      <c r="G1152" s="278"/>
      <c r="H1152" s="278"/>
      <c r="I1152" s="279"/>
      <c r="J1152" s="278"/>
      <c r="K1152" s="278"/>
      <c r="L1152" s="278"/>
      <c r="M1152" s="212"/>
    </row>
    <row r="1153" spans="1:13">
      <c r="A1153" s="213"/>
      <c r="B1153" s="278"/>
      <c r="C1153" s="278"/>
      <c r="D1153" s="278"/>
      <c r="E1153" s="279"/>
      <c r="F1153" s="278"/>
      <c r="G1153" s="278"/>
      <c r="H1153" s="278"/>
      <c r="I1153" s="279"/>
      <c r="J1153" s="278"/>
      <c r="K1153" s="278"/>
      <c r="L1153" s="278"/>
      <c r="M1153" s="212"/>
    </row>
    <row r="1154" spans="1:13">
      <c r="A1154" s="213"/>
      <c r="B1154" s="278"/>
      <c r="C1154" s="278"/>
      <c r="D1154" s="278"/>
      <c r="E1154" s="279"/>
      <c r="F1154" s="278"/>
      <c r="G1154" s="278"/>
      <c r="H1154" s="278"/>
      <c r="I1154" s="279"/>
      <c r="J1154" s="278"/>
      <c r="K1154" s="278"/>
      <c r="L1154" s="278"/>
      <c r="M1154" s="212"/>
    </row>
    <row r="1155" spans="1:13">
      <c r="A1155" s="213"/>
      <c r="B1155" s="278"/>
      <c r="C1155" s="278"/>
      <c r="D1155" s="278"/>
      <c r="E1155" s="279"/>
      <c r="F1155" s="278"/>
      <c r="G1155" s="278"/>
      <c r="H1155" s="278"/>
      <c r="I1155" s="279"/>
      <c r="J1155" s="278"/>
      <c r="K1155" s="278"/>
      <c r="L1155" s="278"/>
      <c r="M1155" s="212"/>
    </row>
    <row r="1156" spans="1:13">
      <c r="A1156" s="213"/>
      <c r="B1156" s="278"/>
      <c r="C1156" s="278"/>
      <c r="D1156" s="278"/>
      <c r="E1156" s="279"/>
      <c r="F1156" s="278"/>
      <c r="G1156" s="278"/>
      <c r="H1156" s="278"/>
      <c r="I1156" s="279"/>
      <c r="J1156" s="278"/>
      <c r="K1156" s="278"/>
      <c r="L1156" s="278"/>
      <c r="M1156" s="212"/>
    </row>
    <row r="1157" spans="1:13">
      <c r="A1157" s="213"/>
      <c r="B1157" s="278"/>
      <c r="C1157" s="278"/>
      <c r="D1157" s="278"/>
      <c r="E1157" s="279"/>
      <c r="F1157" s="278"/>
      <c r="G1157" s="278"/>
      <c r="H1157" s="278"/>
      <c r="I1157" s="279"/>
      <c r="J1157" s="278"/>
      <c r="K1157" s="278"/>
      <c r="L1157" s="278"/>
      <c r="M1157" s="212"/>
    </row>
    <row r="1158" spans="1:13">
      <c r="A1158" s="213"/>
      <c r="B1158" s="279"/>
      <c r="C1158" s="279"/>
      <c r="D1158" s="279"/>
      <c r="E1158" s="279"/>
      <c r="F1158" s="279"/>
      <c r="G1158" s="279"/>
      <c r="H1158" s="279"/>
      <c r="I1158" s="279"/>
      <c r="J1158" s="279"/>
      <c r="K1158" s="279"/>
      <c r="L1158" s="279"/>
      <c r="M1158" s="212"/>
    </row>
    <row r="1159" spans="1:13">
      <c r="A1159" s="213"/>
      <c r="B1159" s="213"/>
      <c r="C1159" s="213"/>
      <c r="D1159" s="213"/>
      <c r="E1159" s="213"/>
      <c r="F1159" s="213"/>
      <c r="G1159" s="213"/>
      <c r="H1159" s="213"/>
      <c r="I1159" s="213"/>
      <c r="J1159" s="213"/>
      <c r="K1159" s="213"/>
      <c r="L1159" s="216"/>
      <c r="M1159" s="212"/>
    </row>
    <row r="1160" spans="1:13">
      <c r="A1160" s="213"/>
      <c r="B1160" s="213"/>
      <c r="C1160" s="213"/>
      <c r="D1160" s="213"/>
      <c r="E1160" s="213"/>
      <c r="F1160" s="213"/>
      <c r="G1160" s="213"/>
      <c r="H1160" s="213"/>
      <c r="I1160" s="213"/>
      <c r="J1160" s="213"/>
      <c r="K1160" s="213"/>
      <c r="L1160" s="260"/>
      <c r="M1160" s="212"/>
    </row>
    <row r="1161" spans="1:13">
      <c r="A1161" s="234"/>
      <c r="B1161" s="217"/>
      <c r="C1161" s="217"/>
      <c r="D1161" s="217"/>
      <c r="E1161" s="217"/>
      <c r="F1161" s="217"/>
      <c r="G1161" s="217"/>
      <c r="H1161" s="217"/>
      <c r="I1161" s="217"/>
      <c r="J1161" s="217"/>
      <c r="K1161" s="217"/>
      <c r="L1161" s="212"/>
      <c r="M1161" s="212"/>
    </row>
    <row r="1162" spans="1:13">
      <c r="A1162" s="217"/>
      <c r="B1162" s="347"/>
      <c r="C1162" s="347"/>
      <c r="D1162" s="347"/>
      <c r="E1162" s="229"/>
      <c r="F1162" s="347"/>
      <c r="G1162" s="347"/>
      <c r="H1162" s="347"/>
      <c r="I1162" s="229"/>
      <c r="J1162" s="347"/>
      <c r="K1162" s="347"/>
      <c r="L1162" s="347"/>
      <c r="M1162" s="212"/>
    </row>
    <row r="1163" spans="1:13">
      <c r="A1163" s="234"/>
      <c r="B1163" s="235"/>
      <c r="C1163" s="235"/>
      <c r="D1163" s="235"/>
      <c r="E1163" s="235"/>
      <c r="F1163" s="235"/>
      <c r="G1163" s="235"/>
      <c r="H1163" s="235"/>
      <c r="I1163" s="235"/>
      <c r="J1163" s="235"/>
      <c r="K1163" s="235"/>
      <c r="L1163" s="235"/>
      <c r="M1163" s="212"/>
    </row>
    <row r="1164" spans="1:13">
      <c r="A1164" s="234"/>
      <c r="B1164" s="235"/>
      <c r="C1164" s="235"/>
      <c r="D1164" s="235"/>
      <c r="E1164" s="235"/>
      <c r="F1164" s="235"/>
      <c r="G1164" s="235"/>
      <c r="H1164" s="235"/>
      <c r="I1164" s="235"/>
      <c r="J1164" s="235"/>
      <c r="K1164" s="235"/>
      <c r="L1164" s="235"/>
      <c r="M1164" s="212"/>
    </row>
    <row r="1165" spans="1:13">
      <c r="A1165" s="213"/>
      <c r="B1165" s="278"/>
      <c r="C1165" s="278"/>
      <c r="D1165" s="278"/>
      <c r="E1165" s="279"/>
      <c r="F1165" s="278"/>
      <c r="G1165" s="278"/>
      <c r="H1165" s="278"/>
      <c r="I1165" s="279"/>
      <c r="J1165" s="278"/>
      <c r="K1165" s="278"/>
      <c r="L1165" s="278"/>
      <c r="M1165" s="212"/>
    </row>
    <row r="1166" spans="1:13">
      <c r="A1166" s="213"/>
      <c r="B1166" s="278"/>
      <c r="C1166" s="278"/>
      <c r="D1166" s="278"/>
      <c r="E1166" s="279"/>
      <c r="F1166" s="278"/>
      <c r="G1166" s="278"/>
      <c r="H1166" s="278"/>
      <c r="I1166" s="279"/>
      <c r="J1166" s="278"/>
      <c r="K1166" s="278"/>
      <c r="L1166" s="278"/>
      <c r="M1166" s="212"/>
    </row>
    <row r="1167" spans="1:13">
      <c r="A1167" s="213"/>
      <c r="B1167" s="278"/>
      <c r="C1167" s="278"/>
      <c r="D1167" s="278"/>
      <c r="E1167" s="279"/>
      <c r="F1167" s="278"/>
      <c r="G1167" s="278"/>
      <c r="H1167" s="278"/>
      <c r="I1167" s="279"/>
      <c r="J1167" s="278"/>
      <c r="K1167" s="278"/>
      <c r="L1167" s="278"/>
      <c r="M1167" s="212"/>
    </row>
    <row r="1168" spans="1:13">
      <c r="A1168" s="213"/>
      <c r="B1168" s="278"/>
      <c r="C1168" s="278"/>
      <c r="D1168" s="278"/>
      <c r="E1168" s="279"/>
      <c r="F1168" s="278"/>
      <c r="G1168" s="278"/>
      <c r="H1168" s="278"/>
      <c r="I1168" s="279"/>
      <c r="J1168" s="278"/>
      <c r="K1168" s="278"/>
      <c r="L1168" s="278"/>
      <c r="M1168" s="212"/>
    </row>
    <row r="1169" spans="1:13">
      <c r="A1169" s="213"/>
      <c r="B1169" s="278"/>
      <c r="C1169" s="278"/>
      <c r="D1169" s="278"/>
      <c r="E1169" s="279"/>
      <c r="F1169" s="278"/>
      <c r="G1169" s="278"/>
      <c r="H1169" s="278"/>
      <c r="I1169" s="279"/>
      <c r="J1169" s="278"/>
      <c r="K1169" s="278"/>
      <c r="L1169" s="278"/>
      <c r="M1169" s="212"/>
    </row>
    <row r="1170" spans="1:13">
      <c r="A1170" s="213"/>
      <c r="B1170" s="278"/>
      <c r="C1170" s="278"/>
      <c r="D1170" s="278"/>
      <c r="E1170" s="279"/>
      <c r="F1170" s="278"/>
      <c r="G1170" s="278"/>
      <c r="H1170" s="278"/>
      <c r="I1170" s="279"/>
      <c r="J1170" s="278"/>
      <c r="K1170" s="278"/>
      <c r="L1170" s="278"/>
      <c r="M1170" s="212"/>
    </row>
    <row r="1171" spans="1:13">
      <c r="A1171" s="213"/>
      <c r="B1171" s="278"/>
      <c r="C1171" s="278"/>
      <c r="D1171" s="278"/>
      <c r="E1171" s="279"/>
      <c r="F1171" s="278"/>
      <c r="G1171" s="278"/>
      <c r="H1171" s="278"/>
      <c r="I1171" s="279"/>
      <c r="J1171" s="278"/>
      <c r="K1171" s="278"/>
      <c r="L1171" s="278"/>
      <c r="M1171" s="212"/>
    </row>
    <row r="1172" spans="1:13">
      <c r="A1172" s="213"/>
      <c r="B1172" s="278"/>
      <c r="C1172" s="278"/>
      <c r="D1172" s="278"/>
      <c r="E1172" s="279"/>
      <c r="F1172" s="278"/>
      <c r="G1172" s="278"/>
      <c r="H1172" s="278"/>
      <c r="I1172" s="279"/>
      <c r="J1172" s="278"/>
      <c r="K1172" s="278"/>
      <c r="L1172" s="278"/>
      <c r="M1172" s="212"/>
    </row>
    <row r="1173" spans="1:13">
      <c r="A1173" s="213"/>
      <c r="B1173" s="278"/>
      <c r="C1173" s="278"/>
      <c r="D1173" s="278"/>
      <c r="E1173" s="279"/>
      <c r="F1173" s="278"/>
      <c r="G1173" s="278"/>
      <c r="H1173" s="278"/>
      <c r="I1173" s="279"/>
      <c r="J1173" s="278"/>
      <c r="K1173" s="278"/>
      <c r="L1173" s="278"/>
      <c r="M1173" s="212"/>
    </row>
    <row r="1174" spans="1:13">
      <c r="A1174" s="213"/>
      <c r="B1174" s="278"/>
      <c r="C1174" s="278"/>
      <c r="D1174" s="278"/>
      <c r="E1174" s="279"/>
      <c r="F1174" s="278"/>
      <c r="G1174" s="278"/>
      <c r="H1174" s="278"/>
      <c r="I1174" s="279"/>
      <c r="J1174" s="278"/>
      <c r="K1174" s="278"/>
      <c r="L1174" s="278"/>
      <c r="M1174" s="212"/>
    </row>
    <row r="1175" spans="1:13">
      <c r="A1175" s="213"/>
      <c r="B1175" s="279"/>
      <c r="C1175" s="279"/>
      <c r="D1175" s="279"/>
      <c r="E1175" s="279"/>
      <c r="F1175" s="279"/>
      <c r="G1175" s="279"/>
      <c r="H1175" s="279"/>
      <c r="I1175" s="279"/>
      <c r="J1175" s="279"/>
      <c r="K1175" s="279"/>
      <c r="L1175" s="279"/>
      <c r="M1175" s="212"/>
    </row>
    <row r="1176" spans="1:13">
      <c r="A1176" s="213"/>
      <c r="B1176" s="213"/>
      <c r="C1176" s="213"/>
      <c r="D1176" s="213"/>
      <c r="E1176" s="213"/>
      <c r="F1176" s="213"/>
      <c r="G1176" s="213"/>
      <c r="H1176" s="213"/>
      <c r="I1176" s="213"/>
      <c r="J1176" s="213"/>
      <c r="K1176" s="213"/>
      <c r="L1176" s="216"/>
      <c r="M1176" s="212"/>
    </row>
    <row r="1177" spans="1:13">
      <c r="A1177" s="213"/>
      <c r="B1177" s="213"/>
      <c r="C1177" s="213"/>
      <c r="D1177" s="213"/>
      <c r="E1177" s="213"/>
      <c r="F1177" s="213"/>
      <c r="G1177" s="213"/>
      <c r="H1177" s="213"/>
      <c r="I1177" s="213"/>
      <c r="J1177" s="213"/>
      <c r="K1177" s="213"/>
      <c r="L1177" s="260"/>
      <c r="M1177" s="212"/>
    </row>
    <row r="1178" spans="1:13">
      <c r="A1178" s="234"/>
      <c r="B1178" s="217"/>
      <c r="C1178" s="217"/>
      <c r="D1178" s="217"/>
      <c r="E1178" s="217"/>
      <c r="F1178" s="217"/>
      <c r="G1178" s="217"/>
      <c r="H1178" s="217"/>
      <c r="I1178" s="217"/>
      <c r="J1178" s="217"/>
      <c r="K1178" s="217"/>
      <c r="L1178" s="212"/>
      <c r="M1178" s="212"/>
    </row>
    <row r="1179" spans="1:13">
      <c r="A1179" s="217"/>
      <c r="B1179" s="347"/>
      <c r="C1179" s="347"/>
      <c r="D1179" s="347"/>
      <c r="E1179" s="229"/>
      <c r="F1179" s="347"/>
      <c r="G1179" s="347"/>
      <c r="H1179" s="347"/>
      <c r="I1179" s="229"/>
      <c r="J1179" s="347"/>
      <c r="K1179" s="347"/>
      <c r="L1179" s="347"/>
      <c r="M1179" s="212"/>
    </row>
    <row r="1180" spans="1:13">
      <c r="A1180" s="234"/>
      <c r="B1180" s="235"/>
      <c r="C1180" s="235"/>
      <c r="D1180" s="235"/>
      <c r="E1180" s="235"/>
      <c r="F1180" s="235"/>
      <c r="G1180" s="235"/>
      <c r="H1180" s="235"/>
      <c r="I1180" s="235"/>
      <c r="J1180" s="235"/>
      <c r="K1180" s="235"/>
      <c r="L1180" s="235"/>
      <c r="M1180" s="212"/>
    </row>
    <row r="1181" spans="1:13">
      <c r="A1181" s="234"/>
      <c r="B1181" s="235"/>
      <c r="C1181" s="235"/>
      <c r="D1181" s="235"/>
      <c r="E1181" s="235"/>
      <c r="F1181" s="235"/>
      <c r="G1181" s="235"/>
      <c r="H1181" s="235"/>
      <c r="I1181" s="235"/>
      <c r="J1181" s="235"/>
      <c r="K1181" s="235"/>
      <c r="L1181" s="235"/>
      <c r="M1181" s="212"/>
    </row>
    <row r="1182" spans="1:13">
      <c r="A1182" s="213"/>
      <c r="B1182" s="278"/>
      <c r="C1182" s="278"/>
      <c r="D1182" s="278"/>
      <c r="E1182" s="279"/>
      <c r="F1182" s="278"/>
      <c r="G1182" s="278"/>
      <c r="H1182" s="278"/>
      <c r="I1182" s="279"/>
      <c r="J1182" s="278"/>
      <c r="K1182" s="278"/>
      <c r="L1182" s="278"/>
      <c r="M1182" s="212"/>
    </row>
    <row r="1183" spans="1:13">
      <c r="A1183" s="213"/>
      <c r="B1183" s="278"/>
      <c r="C1183" s="278"/>
      <c r="D1183" s="278"/>
      <c r="E1183" s="279"/>
      <c r="F1183" s="278"/>
      <c r="G1183" s="278"/>
      <c r="H1183" s="278"/>
      <c r="I1183" s="279"/>
      <c r="J1183" s="278"/>
      <c r="K1183" s="278"/>
      <c r="L1183" s="278"/>
      <c r="M1183" s="212"/>
    </row>
    <row r="1184" spans="1:13">
      <c r="A1184" s="213"/>
      <c r="B1184" s="278"/>
      <c r="C1184" s="278"/>
      <c r="D1184" s="278"/>
      <c r="E1184" s="279"/>
      <c r="F1184" s="278"/>
      <c r="G1184" s="278"/>
      <c r="H1184" s="278"/>
      <c r="I1184" s="279"/>
      <c r="J1184" s="278"/>
      <c r="K1184" s="278"/>
      <c r="L1184" s="278"/>
      <c r="M1184" s="212"/>
    </row>
    <row r="1185" spans="1:13">
      <c r="A1185" s="213"/>
      <c r="B1185" s="278"/>
      <c r="C1185" s="278"/>
      <c r="D1185" s="278"/>
      <c r="E1185" s="279"/>
      <c r="F1185" s="278"/>
      <c r="G1185" s="278"/>
      <c r="H1185" s="278"/>
      <c r="I1185" s="279"/>
      <c r="J1185" s="278"/>
      <c r="K1185" s="278"/>
      <c r="L1185" s="278"/>
      <c r="M1185" s="212"/>
    </row>
    <row r="1186" spans="1:13">
      <c r="A1186" s="213"/>
      <c r="B1186" s="278"/>
      <c r="C1186" s="278"/>
      <c r="D1186" s="278"/>
      <c r="E1186" s="279"/>
      <c r="F1186" s="278"/>
      <c r="G1186" s="278"/>
      <c r="H1186" s="278"/>
      <c r="I1186" s="279"/>
      <c r="J1186" s="278"/>
      <c r="K1186" s="278"/>
      <c r="L1186" s="278"/>
      <c r="M1186" s="212"/>
    </row>
    <row r="1187" spans="1:13">
      <c r="A1187" s="213"/>
      <c r="B1187" s="278"/>
      <c r="C1187" s="278"/>
      <c r="D1187" s="278"/>
      <c r="E1187" s="279"/>
      <c r="F1187" s="278"/>
      <c r="G1187" s="278"/>
      <c r="H1187" s="278"/>
      <c r="I1187" s="279"/>
      <c r="J1187" s="278"/>
      <c r="K1187" s="278"/>
      <c r="L1187" s="278"/>
      <c r="M1187" s="212"/>
    </row>
    <row r="1188" spans="1:13">
      <c r="A1188" s="213"/>
      <c r="B1188" s="278"/>
      <c r="C1188" s="278"/>
      <c r="D1188" s="278"/>
      <c r="E1188" s="279"/>
      <c r="F1188" s="278"/>
      <c r="G1188" s="278"/>
      <c r="H1188" s="278"/>
      <c r="I1188" s="279"/>
      <c r="J1188" s="278"/>
      <c r="K1188" s="278"/>
      <c r="L1188" s="278"/>
      <c r="M1188" s="212"/>
    </row>
    <row r="1189" spans="1:13">
      <c r="A1189" s="213"/>
      <c r="B1189" s="278"/>
      <c r="C1189" s="278"/>
      <c r="D1189" s="278"/>
      <c r="E1189" s="279"/>
      <c r="F1189" s="278"/>
      <c r="G1189" s="278"/>
      <c r="H1189" s="278"/>
      <c r="I1189" s="279"/>
      <c r="J1189" s="278"/>
      <c r="K1189" s="278"/>
      <c r="L1189" s="278"/>
      <c r="M1189" s="212"/>
    </row>
    <row r="1190" spans="1:13">
      <c r="A1190" s="213"/>
      <c r="B1190" s="278"/>
      <c r="C1190" s="278"/>
      <c r="D1190" s="278"/>
      <c r="E1190" s="279"/>
      <c r="F1190" s="278"/>
      <c r="G1190" s="278"/>
      <c r="H1190" s="278"/>
      <c r="I1190" s="279"/>
      <c r="J1190" s="278"/>
      <c r="K1190" s="278"/>
      <c r="L1190" s="278"/>
      <c r="M1190" s="212"/>
    </row>
    <row r="1191" spans="1:13">
      <c r="A1191" s="213"/>
      <c r="B1191" s="278"/>
      <c r="C1191" s="278"/>
      <c r="D1191" s="278"/>
      <c r="E1191" s="279"/>
      <c r="F1191" s="278"/>
      <c r="G1191" s="278"/>
      <c r="H1191" s="278"/>
      <c r="I1191" s="279"/>
      <c r="J1191" s="278"/>
      <c r="K1191" s="278"/>
      <c r="L1191" s="278"/>
      <c r="M1191" s="212"/>
    </row>
    <row r="1192" spans="1:13">
      <c r="A1192" s="213"/>
      <c r="B1192" s="279"/>
      <c r="C1192" s="279"/>
      <c r="D1192" s="279"/>
      <c r="E1192" s="279"/>
      <c r="F1192" s="279"/>
      <c r="G1192" s="279"/>
      <c r="H1192" s="279"/>
      <c r="I1192" s="279"/>
      <c r="J1192" s="279"/>
      <c r="K1192" s="279"/>
      <c r="L1192" s="279"/>
      <c r="M1192" s="212"/>
    </row>
    <row r="1193" spans="1:13">
      <c r="A1193" s="213"/>
      <c r="B1193" s="213"/>
      <c r="C1193" s="213"/>
      <c r="D1193" s="213"/>
      <c r="E1193" s="213"/>
      <c r="F1193" s="213"/>
      <c r="G1193" s="213"/>
      <c r="H1193" s="213"/>
      <c r="I1193" s="213"/>
      <c r="J1193" s="213"/>
      <c r="K1193" s="213"/>
      <c r="L1193" s="216"/>
      <c r="M1193" s="212"/>
    </row>
    <row r="1194" spans="1:13">
      <c r="A1194" s="213"/>
      <c r="B1194" s="213"/>
      <c r="C1194" s="213"/>
      <c r="D1194" s="213"/>
      <c r="E1194" s="213"/>
      <c r="F1194" s="213"/>
      <c r="G1194" s="213"/>
      <c r="H1194" s="213"/>
      <c r="I1194" s="213"/>
      <c r="J1194" s="213"/>
      <c r="K1194" s="213"/>
      <c r="L1194" s="260"/>
      <c r="M1194" s="212"/>
    </row>
    <row r="1195" spans="1:13">
      <c r="A1195" s="234"/>
      <c r="B1195" s="217"/>
      <c r="C1195" s="217"/>
      <c r="D1195" s="217"/>
      <c r="E1195" s="217"/>
      <c r="F1195" s="217"/>
      <c r="G1195" s="217"/>
      <c r="H1195" s="217"/>
      <c r="I1195" s="217"/>
      <c r="J1195" s="217"/>
      <c r="K1195" s="217"/>
      <c r="L1195" s="212"/>
      <c r="M1195" s="212"/>
    </row>
    <row r="1196" spans="1:13">
      <c r="A1196" s="217"/>
      <c r="B1196" s="347"/>
      <c r="C1196" s="347"/>
      <c r="D1196" s="347"/>
      <c r="E1196" s="229"/>
      <c r="F1196" s="347"/>
      <c r="G1196" s="347"/>
      <c r="H1196" s="347"/>
      <c r="I1196" s="229"/>
      <c r="J1196" s="347"/>
      <c r="K1196" s="347"/>
      <c r="L1196" s="347"/>
      <c r="M1196" s="212"/>
    </row>
    <row r="1197" spans="1:13">
      <c r="A1197" s="234"/>
      <c r="B1197" s="235"/>
      <c r="C1197" s="235"/>
      <c r="D1197" s="235"/>
      <c r="E1197" s="235"/>
      <c r="F1197" s="235"/>
      <c r="G1197" s="235"/>
      <c r="H1197" s="235"/>
      <c r="I1197" s="235"/>
      <c r="J1197" s="235"/>
      <c r="K1197" s="235"/>
      <c r="L1197" s="235"/>
      <c r="M1197" s="212"/>
    </row>
    <row r="1198" spans="1:13">
      <c r="A1198" s="234"/>
      <c r="B1198" s="235"/>
      <c r="C1198" s="235"/>
      <c r="D1198" s="235"/>
      <c r="E1198" s="235"/>
      <c r="F1198" s="235"/>
      <c r="G1198" s="235"/>
      <c r="H1198" s="235"/>
      <c r="I1198" s="235"/>
      <c r="J1198" s="235"/>
      <c r="K1198" s="235"/>
      <c r="L1198" s="235"/>
      <c r="M1198" s="212"/>
    </row>
    <row r="1199" spans="1:13">
      <c r="A1199" s="213"/>
      <c r="B1199" s="278"/>
      <c r="C1199" s="278"/>
      <c r="D1199" s="278"/>
      <c r="E1199" s="279"/>
      <c r="F1199" s="278"/>
      <c r="G1199" s="278"/>
      <c r="H1199" s="278"/>
      <c r="I1199" s="279"/>
      <c r="J1199" s="278"/>
      <c r="K1199" s="278"/>
      <c r="L1199" s="278"/>
      <c r="M1199" s="212"/>
    </row>
    <row r="1200" spans="1:13">
      <c r="A1200" s="213"/>
      <c r="B1200" s="278"/>
      <c r="C1200" s="278"/>
      <c r="D1200" s="278"/>
      <c r="E1200" s="279"/>
      <c r="F1200" s="278"/>
      <c r="G1200" s="278"/>
      <c r="H1200" s="278"/>
      <c r="I1200" s="279"/>
      <c r="J1200" s="278"/>
      <c r="K1200" s="278"/>
      <c r="L1200" s="278"/>
      <c r="M1200" s="212"/>
    </row>
    <row r="1201" spans="1:13">
      <c r="A1201" s="213"/>
      <c r="B1201" s="278"/>
      <c r="C1201" s="278"/>
      <c r="D1201" s="278"/>
      <c r="E1201" s="279"/>
      <c r="F1201" s="278"/>
      <c r="G1201" s="278"/>
      <c r="H1201" s="278"/>
      <c r="I1201" s="279"/>
      <c r="J1201" s="278"/>
      <c r="K1201" s="278"/>
      <c r="L1201" s="278"/>
      <c r="M1201" s="212"/>
    </row>
    <row r="1202" spans="1:13">
      <c r="A1202" s="213"/>
      <c r="B1202" s="278"/>
      <c r="C1202" s="278"/>
      <c r="D1202" s="278"/>
      <c r="E1202" s="279"/>
      <c r="F1202" s="278"/>
      <c r="G1202" s="278"/>
      <c r="H1202" s="278"/>
      <c r="I1202" s="279"/>
      <c r="J1202" s="278"/>
      <c r="K1202" s="278"/>
      <c r="L1202" s="278"/>
      <c r="M1202" s="212"/>
    </row>
    <row r="1203" spans="1:13">
      <c r="A1203" s="213"/>
      <c r="B1203" s="278"/>
      <c r="C1203" s="278"/>
      <c r="D1203" s="278"/>
      <c r="E1203" s="279"/>
      <c r="F1203" s="278"/>
      <c r="G1203" s="278"/>
      <c r="H1203" s="278"/>
      <c r="I1203" s="279"/>
      <c r="J1203" s="278"/>
      <c r="K1203" s="278"/>
      <c r="L1203" s="278"/>
      <c r="M1203" s="212"/>
    </row>
    <row r="1204" spans="1:13">
      <c r="A1204" s="213"/>
      <c r="B1204" s="278"/>
      <c r="C1204" s="278"/>
      <c r="D1204" s="278"/>
      <c r="E1204" s="279"/>
      <c r="F1204" s="278"/>
      <c r="G1204" s="278"/>
      <c r="H1204" s="278"/>
      <c r="I1204" s="279"/>
      <c r="J1204" s="278"/>
      <c r="K1204" s="278"/>
      <c r="L1204" s="278"/>
      <c r="M1204" s="212"/>
    </row>
    <row r="1205" spans="1:13">
      <c r="A1205" s="213"/>
      <c r="B1205" s="278"/>
      <c r="C1205" s="278"/>
      <c r="D1205" s="278"/>
      <c r="E1205" s="279"/>
      <c r="F1205" s="278"/>
      <c r="G1205" s="278"/>
      <c r="H1205" s="278"/>
      <c r="I1205" s="279"/>
      <c r="J1205" s="278"/>
      <c r="K1205" s="278"/>
      <c r="L1205" s="278"/>
      <c r="M1205" s="212"/>
    </row>
    <row r="1206" spans="1:13">
      <c r="A1206" s="213"/>
      <c r="B1206" s="278"/>
      <c r="C1206" s="278"/>
      <c r="D1206" s="278"/>
      <c r="E1206" s="279"/>
      <c r="F1206" s="278"/>
      <c r="G1206" s="278"/>
      <c r="H1206" s="278"/>
      <c r="I1206" s="279"/>
      <c r="J1206" s="278"/>
      <c r="K1206" s="278"/>
      <c r="L1206" s="278"/>
      <c r="M1206" s="212"/>
    </row>
    <row r="1207" spans="1:13">
      <c r="A1207" s="213"/>
      <c r="B1207" s="278"/>
      <c r="C1207" s="278"/>
      <c r="D1207" s="278"/>
      <c r="E1207" s="279"/>
      <c r="F1207" s="278"/>
      <c r="G1207" s="278"/>
      <c r="H1207" s="278"/>
      <c r="I1207" s="279"/>
      <c r="J1207" s="278"/>
      <c r="K1207" s="278"/>
      <c r="L1207" s="278"/>
      <c r="M1207" s="212"/>
    </row>
    <row r="1208" spans="1:13">
      <c r="A1208" s="213"/>
      <c r="B1208" s="278"/>
      <c r="C1208" s="278"/>
      <c r="D1208" s="278"/>
      <c r="E1208" s="279"/>
      <c r="F1208" s="278"/>
      <c r="G1208" s="278"/>
      <c r="H1208" s="278"/>
      <c r="I1208" s="279"/>
      <c r="J1208" s="278"/>
      <c r="K1208" s="278"/>
      <c r="L1208" s="278"/>
      <c r="M1208" s="212"/>
    </row>
    <row r="1209" spans="1:13">
      <c r="A1209" s="213"/>
      <c r="B1209" s="279"/>
      <c r="C1209" s="279"/>
      <c r="D1209" s="279"/>
      <c r="E1209" s="279"/>
      <c r="F1209" s="279"/>
      <c r="G1209" s="279"/>
      <c r="H1209" s="279"/>
      <c r="I1209" s="279"/>
      <c r="J1209" s="279"/>
      <c r="K1209" s="279"/>
      <c r="L1209" s="279"/>
      <c r="M1209" s="212"/>
    </row>
    <row r="1210" spans="1:13">
      <c r="A1210" s="213"/>
      <c r="B1210" s="213"/>
      <c r="C1210" s="213"/>
      <c r="D1210" s="213"/>
      <c r="E1210" s="213"/>
      <c r="F1210" s="213"/>
      <c r="G1210" s="213"/>
      <c r="H1210" s="213"/>
      <c r="I1210" s="213"/>
      <c r="J1210" s="213"/>
      <c r="K1210" s="213"/>
      <c r="L1210" s="216"/>
      <c r="M1210" s="212"/>
    </row>
    <row r="1211" spans="1:13">
      <c r="A1211" s="213"/>
      <c r="B1211" s="213"/>
      <c r="C1211" s="213"/>
      <c r="D1211" s="213"/>
      <c r="E1211" s="213"/>
      <c r="F1211" s="213"/>
      <c r="G1211" s="213"/>
      <c r="H1211" s="213"/>
      <c r="I1211" s="213"/>
      <c r="J1211" s="213"/>
      <c r="K1211" s="213"/>
      <c r="L1211" s="260"/>
      <c r="M1211" s="212"/>
    </row>
    <row r="1212" spans="1:13">
      <c r="A1212" s="234"/>
      <c r="B1212" s="217"/>
      <c r="C1212" s="217"/>
      <c r="D1212" s="217"/>
      <c r="E1212" s="217"/>
      <c r="F1212" s="217"/>
      <c r="G1212" s="217"/>
      <c r="H1212" s="217"/>
      <c r="I1212" s="217"/>
      <c r="J1212" s="217"/>
      <c r="K1212" s="217"/>
      <c r="L1212" s="212"/>
      <c r="M1212" s="212"/>
    </row>
    <row r="1213" spans="1:13">
      <c r="A1213" s="217"/>
      <c r="B1213" s="347"/>
      <c r="C1213" s="347"/>
      <c r="D1213" s="347"/>
      <c r="E1213" s="229"/>
      <c r="F1213" s="347"/>
      <c r="G1213" s="347"/>
      <c r="H1213" s="347"/>
      <c r="I1213" s="229"/>
      <c r="J1213" s="347"/>
      <c r="K1213" s="347"/>
      <c r="L1213" s="347"/>
      <c r="M1213" s="212"/>
    </row>
    <row r="1214" spans="1:13">
      <c r="A1214" s="234"/>
      <c r="B1214" s="235"/>
      <c r="C1214" s="235"/>
      <c r="D1214" s="235"/>
      <c r="E1214" s="235"/>
      <c r="F1214" s="235"/>
      <c r="G1214" s="235"/>
      <c r="H1214" s="235"/>
      <c r="I1214" s="235"/>
      <c r="J1214" s="235"/>
      <c r="K1214" s="235"/>
      <c r="L1214" s="235"/>
      <c r="M1214" s="212"/>
    </row>
    <row r="1215" spans="1:13">
      <c r="A1215" s="234"/>
      <c r="B1215" s="235"/>
      <c r="C1215" s="235"/>
      <c r="D1215" s="235"/>
      <c r="E1215" s="235"/>
      <c r="F1215" s="235"/>
      <c r="G1215" s="235"/>
      <c r="H1215" s="235"/>
      <c r="I1215" s="235"/>
      <c r="J1215" s="235"/>
      <c r="K1215" s="235"/>
      <c r="L1215" s="235"/>
      <c r="M1215" s="212"/>
    </row>
    <row r="1216" spans="1:13">
      <c r="A1216" s="213"/>
      <c r="B1216" s="278"/>
      <c r="C1216" s="278"/>
      <c r="D1216" s="278"/>
      <c r="E1216" s="279"/>
      <c r="F1216" s="278"/>
      <c r="G1216" s="278"/>
      <c r="H1216" s="278"/>
      <c r="I1216" s="279"/>
      <c r="J1216" s="278"/>
      <c r="K1216" s="278"/>
      <c r="L1216" s="278"/>
      <c r="M1216" s="212"/>
    </row>
    <row r="1217" spans="1:13">
      <c r="A1217" s="213"/>
      <c r="B1217" s="278"/>
      <c r="C1217" s="278"/>
      <c r="D1217" s="278"/>
      <c r="E1217" s="279"/>
      <c r="F1217" s="278"/>
      <c r="G1217" s="278"/>
      <c r="H1217" s="278"/>
      <c r="I1217" s="279"/>
      <c r="J1217" s="278"/>
      <c r="K1217" s="278"/>
      <c r="L1217" s="278"/>
      <c r="M1217" s="212"/>
    </row>
    <row r="1218" spans="1:13">
      <c r="A1218" s="213"/>
      <c r="B1218" s="278"/>
      <c r="C1218" s="278"/>
      <c r="D1218" s="278"/>
      <c r="E1218" s="279"/>
      <c r="F1218" s="278"/>
      <c r="G1218" s="278"/>
      <c r="H1218" s="278"/>
      <c r="I1218" s="279"/>
      <c r="J1218" s="278"/>
      <c r="K1218" s="278"/>
      <c r="L1218" s="278"/>
      <c r="M1218" s="212"/>
    </row>
    <row r="1219" spans="1:13">
      <c r="A1219" s="213"/>
      <c r="B1219" s="278"/>
      <c r="C1219" s="278"/>
      <c r="D1219" s="278"/>
      <c r="E1219" s="279"/>
      <c r="F1219" s="278"/>
      <c r="G1219" s="278"/>
      <c r="H1219" s="278"/>
      <c r="I1219" s="279"/>
      <c r="J1219" s="278"/>
      <c r="K1219" s="278"/>
      <c r="L1219" s="278"/>
      <c r="M1219" s="212"/>
    </row>
    <row r="1220" spans="1:13">
      <c r="A1220" s="213"/>
      <c r="B1220" s="278"/>
      <c r="C1220" s="278"/>
      <c r="D1220" s="278"/>
      <c r="E1220" s="279"/>
      <c r="F1220" s="278"/>
      <c r="G1220" s="278"/>
      <c r="H1220" s="278"/>
      <c r="I1220" s="279"/>
      <c r="J1220" s="278"/>
      <c r="K1220" s="278"/>
      <c r="L1220" s="278"/>
      <c r="M1220" s="212"/>
    </row>
    <row r="1221" spans="1:13">
      <c r="A1221" s="213"/>
      <c r="B1221" s="278"/>
      <c r="C1221" s="278"/>
      <c r="D1221" s="278"/>
      <c r="E1221" s="279"/>
      <c r="F1221" s="278"/>
      <c r="G1221" s="278"/>
      <c r="H1221" s="278"/>
      <c r="I1221" s="279"/>
      <c r="J1221" s="278"/>
      <c r="K1221" s="278"/>
      <c r="L1221" s="278"/>
      <c r="M1221" s="212"/>
    </row>
    <row r="1222" spans="1:13">
      <c r="A1222" s="213"/>
      <c r="B1222" s="278"/>
      <c r="C1222" s="278"/>
      <c r="D1222" s="278"/>
      <c r="E1222" s="279"/>
      <c r="F1222" s="278"/>
      <c r="G1222" s="278"/>
      <c r="H1222" s="278"/>
      <c r="I1222" s="279"/>
      <c r="J1222" s="278"/>
      <c r="K1222" s="278"/>
      <c r="L1222" s="278"/>
      <c r="M1222" s="212"/>
    </row>
    <row r="1223" spans="1:13">
      <c r="A1223" s="213"/>
      <c r="B1223" s="278"/>
      <c r="C1223" s="278"/>
      <c r="D1223" s="278"/>
      <c r="E1223" s="279"/>
      <c r="F1223" s="278"/>
      <c r="G1223" s="278"/>
      <c r="H1223" s="278"/>
      <c r="I1223" s="279"/>
      <c r="J1223" s="278"/>
      <c r="K1223" s="278"/>
      <c r="L1223" s="278"/>
      <c r="M1223" s="212"/>
    </row>
    <row r="1224" spans="1:13" ht="13.5" customHeight="1">
      <c r="A1224" s="213"/>
      <c r="B1224" s="278"/>
      <c r="C1224" s="278"/>
      <c r="D1224" s="278"/>
      <c r="E1224" s="279"/>
      <c r="F1224" s="278"/>
      <c r="G1224" s="278"/>
      <c r="H1224" s="278"/>
      <c r="I1224" s="279"/>
      <c r="J1224" s="278"/>
      <c r="K1224" s="278"/>
      <c r="L1224" s="278"/>
      <c r="M1224" s="212"/>
    </row>
    <row r="1225" spans="1:13" ht="13.5" customHeight="1">
      <c r="A1225" s="213"/>
      <c r="B1225" s="278"/>
      <c r="C1225" s="278"/>
      <c r="D1225" s="278"/>
      <c r="E1225" s="279"/>
      <c r="F1225" s="278"/>
      <c r="G1225" s="278"/>
      <c r="H1225" s="278"/>
      <c r="I1225" s="279"/>
      <c r="J1225" s="278"/>
      <c r="K1225" s="278"/>
      <c r="L1225" s="278"/>
      <c r="M1225" s="212"/>
    </row>
    <row r="1226" spans="1:13">
      <c r="A1226" s="213"/>
      <c r="B1226" s="279"/>
      <c r="C1226" s="279"/>
      <c r="D1226" s="279"/>
      <c r="E1226" s="279"/>
      <c r="F1226" s="279"/>
      <c r="G1226" s="279"/>
      <c r="H1226" s="279"/>
      <c r="I1226" s="279"/>
      <c r="J1226" s="279"/>
      <c r="K1226" s="279"/>
      <c r="L1226" s="279"/>
      <c r="M1226" s="212"/>
    </row>
    <row r="1227" spans="1:13">
      <c r="A1227" s="213"/>
      <c r="B1227" s="213"/>
      <c r="C1227" s="213"/>
      <c r="D1227" s="213"/>
      <c r="E1227" s="213"/>
      <c r="F1227" s="213"/>
      <c r="G1227" s="213"/>
      <c r="H1227" s="213"/>
      <c r="I1227" s="213"/>
      <c r="J1227" s="213"/>
      <c r="K1227" s="213"/>
      <c r="L1227" s="216"/>
      <c r="M1227" s="212"/>
    </row>
    <row r="1228" spans="1:13">
      <c r="A1228" s="213"/>
      <c r="B1228" s="213"/>
      <c r="C1228" s="213"/>
      <c r="D1228" s="213"/>
      <c r="E1228" s="213"/>
      <c r="F1228" s="213"/>
      <c r="G1228" s="213"/>
      <c r="H1228" s="213"/>
      <c r="I1228" s="213"/>
      <c r="J1228" s="213"/>
      <c r="K1228" s="213"/>
      <c r="L1228" s="260"/>
      <c r="M1228" s="212"/>
    </row>
    <row r="1229" spans="1:13">
      <c r="A1229" s="234"/>
      <c r="B1229" s="217"/>
      <c r="C1229" s="217"/>
      <c r="D1229" s="217"/>
      <c r="E1229" s="217"/>
      <c r="F1229" s="217"/>
      <c r="G1229" s="217"/>
      <c r="H1229" s="217"/>
      <c r="I1229" s="217"/>
      <c r="J1229" s="217"/>
      <c r="K1229" s="217"/>
      <c r="L1229" s="212"/>
      <c r="M1229" s="212"/>
    </row>
    <row r="1230" spans="1:13">
      <c r="A1230" s="217"/>
      <c r="B1230" s="347"/>
      <c r="C1230" s="347"/>
      <c r="D1230" s="347"/>
      <c r="E1230" s="229"/>
      <c r="F1230" s="347"/>
      <c r="G1230" s="347"/>
      <c r="H1230" s="347"/>
      <c r="I1230" s="229"/>
      <c r="J1230" s="347"/>
      <c r="K1230" s="347"/>
      <c r="L1230" s="347"/>
      <c r="M1230" s="212"/>
    </row>
    <row r="1231" spans="1:13">
      <c r="A1231" s="234"/>
      <c r="B1231" s="235"/>
      <c r="C1231" s="235"/>
      <c r="D1231" s="235"/>
      <c r="E1231" s="235"/>
      <c r="F1231" s="235"/>
      <c r="G1231" s="235"/>
      <c r="H1231" s="235"/>
      <c r="I1231" s="235"/>
      <c r="J1231" s="235"/>
      <c r="K1231" s="235"/>
      <c r="L1231" s="235"/>
      <c r="M1231" s="212"/>
    </row>
    <row r="1232" spans="1:13">
      <c r="A1232" s="234"/>
      <c r="B1232" s="235"/>
      <c r="C1232" s="235"/>
      <c r="D1232" s="235"/>
      <c r="E1232" s="235"/>
      <c r="F1232" s="235"/>
      <c r="G1232" s="235"/>
      <c r="H1232" s="235"/>
      <c r="I1232" s="235"/>
      <c r="J1232" s="235"/>
      <c r="K1232" s="235"/>
      <c r="L1232" s="235"/>
      <c r="M1232" s="212"/>
    </row>
    <row r="1233" spans="1:13">
      <c r="A1233" s="213"/>
      <c r="B1233" s="278"/>
      <c r="C1233" s="278"/>
      <c r="D1233" s="278"/>
      <c r="E1233" s="279"/>
      <c r="F1233" s="278"/>
      <c r="G1233" s="278"/>
      <c r="H1233" s="278"/>
      <c r="I1233" s="279"/>
      <c r="J1233" s="278"/>
      <c r="K1233" s="278"/>
      <c r="L1233" s="278"/>
      <c r="M1233" s="212"/>
    </row>
    <row r="1234" spans="1:13">
      <c r="A1234" s="213"/>
      <c r="B1234" s="278"/>
      <c r="C1234" s="278"/>
      <c r="D1234" s="278"/>
      <c r="E1234" s="279"/>
      <c r="F1234" s="278"/>
      <c r="G1234" s="278"/>
      <c r="H1234" s="278"/>
      <c r="I1234" s="279"/>
      <c r="J1234" s="278"/>
      <c r="K1234" s="278"/>
      <c r="L1234" s="278"/>
      <c r="M1234" s="212"/>
    </row>
    <row r="1235" spans="1:13">
      <c r="A1235" s="213"/>
      <c r="B1235" s="278"/>
      <c r="C1235" s="278"/>
      <c r="D1235" s="278"/>
      <c r="E1235" s="279"/>
      <c r="F1235" s="278"/>
      <c r="G1235" s="278"/>
      <c r="H1235" s="278"/>
      <c r="I1235" s="279"/>
      <c r="J1235" s="278"/>
      <c r="K1235" s="278"/>
      <c r="L1235" s="278"/>
      <c r="M1235" s="212"/>
    </row>
    <row r="1236" spans="1:13">
      <c r="A1236" s="213"/>
      <c r="B1236" s="278"/>
      <c r="C1236" s="278"/>
      <c r="D1236" s="278"/>
      <c r="E1236" s="279"/>
      <c r="F1236" s="278"/>
      <c r="G1236" s="278"/>
      <c r="H1236" s="278"/>
      <c r="I1236" s="279"/>
      <c r="J1236" s="278"/>
      <c r="K1236" s="278"/>
      <c r="L1236" s="278"/>
      <c r="M1236" s="212"/>
    </row>
    <row r="1237" spans="1:13">
      <c r="A1237" s="213"/>
      <c r="B1237" s="278"/>
      <c r="C1237" s="278"/>
      <c r="D1237" s="278"/>
      <c r="E1237" s="279"/>
      <c r="F1237" s="278"/>
      <c r="G1237" s="278"/>
      <c r="H1237" s="278"/>
      <c r="I1237" s="279"/>
      <c r="J1237" s="278"/>
      <c r="K1237" s="278"/>
      <c r="L1237" s="278"/>
      <c r="M1237" s="212"/>
    </row>
    <row r="1238" spans="1:13">
      <c r="A1238" s="213"/>
      <c r="B1238" s="278"/>
      <c r="C1238" s="278"/>
      <c r="D1238" s="278"/>
      <c r="E1238" s="279"/>
      <c r="F1238" s="278"/>
      <c r="G1238" s="278"/>
      <c r="H1238" s="278"/>
      <c r="I1238" s="279"/>
      <c r="J1238" s="278"/>
      <c r="K1238" s="278"/>
      <c r="L1238" s="278"/>
      <c r="M1238" s="212"/>
    </row>
    <row r="1239" spans="1:13">
      <c r="A1239" s="213"/>
      <c r="B1239" s="278"/>
      <c r="C1239" s="278"/>
      <c r="D1239" s="278"/>
      <c r="E1239" s="279"/>
      <c r="F1239" s="278"/>
      <c r="G1239" s="278"/>
      <c r="H1239" s="278"/>
      <c r="I1239" s="279"/>
      <c r="J1239" s="278"/>
      <c r="K1239" s="278"/>
      <c r="L1239" s="278"/>
      <c r="M1239" s="212"/>
    </row>
    <row r="1240" spans="1:13">
      <c r="A1240" s="213"/>
      <c r="B1240" s="278"/>
      <c r="C1240" s="278"/>
      <c r="D1240" s="278"/>
      <c r="E1240" s="279"/>
      <c r="F1240" s="278"/>
      <c r="G1240" s="278"/>
      <c r="H1240" s="278"/>
      <c r="I1240" s="279"/>
      <c r="J1240" s="278"/>
      <c r="K1240" s="278"/>
      <c r="L1240" s="278"/>
      <c r="M1240" s="212"/>
    </row>
    <row r="1241" spans="1:13">
      <c r="A1241" s="213"/>
      <c r="B1241" s="278"/>
      <c r="C1241" s="278"/>
      <c r="D1241" s="278"/>
      <c r="E1241" s="279"/>
      <c r="F1241" s="278"/>
      <c r="G1241" s="278"/>
      <c r="H1241" s="278"/>
      <c r="I1241" s="279"/>
      <c r="J1241" s="278"/>
      <c r="K1241" s="278"/>
      <c r="L1241" s="278"/>
      <c r="M1241" s="212"/>
    </row>
    <row r="1242" spans="1:13">
      <c r="A1242" s="213"/>
      <c r="B1242" s="278"/>
      <c r="C1242" s="278"/>
      <c r="D1242" s="278"/>
      <c r="E1242" s="279"/>
      <c r="F1242" s="278"/>
      <c r="G1242" s="278"/>
      <c r="H1242" s="278"/>
      <c r="I1242" s="279"/>
      <c r="J1242" s="278"/>
      <c r="K1242" s="278"/>
      <c r="L1242" s="278"/>
      <c r="M1242" s="212"/>
    </row>
    <row r="1243" spans="1:13">
      <c r="A1243" s="213"/>
      <c r="B1243" s="279"/>
      <c r="C1243" s="279"/>
      <c r="D1243" s="279"/>
      <c r="E1243" s="279"/>
      <c r="F1243" s="279"/>
      <c r="G1243" s="279"/>
      <c r="H1243" s="279"/>
      <c r="I1243" s="279"/>
      <c r="J1243" s="279"/>
      <c r="K1243" s="279"/>
      <c r="L1243" s="279"/>
      <c r="M1243" s="212"/>
    </row>
    <row r="1244" spans="1:13">
      <c r="A1244" s="213"/>
      <c r="B1244" s="213"/>
      <c r="C1244" s="213"/>
      <c r="D1244" s="213"/>
      <c r="E1244" s="213"/>
      <c r="F1244" s="213"/>
      <c r="G1244" s="213"/>
      <c r="H1244" s="213"/>
      <c r="I1244" s="213"/>
      <c r="J1244" s="213"/>
      <c r="K1244" s="213"/>
      <c r="L1244" s="216"/>
      <c r="M1244" s="212"/>
    </row>
    <row r="1245" spans="1:13">
      <c r="A1245" s="213"/>
      <c r="B1245" s="213"/>
      <c r="C1245" s="213"/>
      <c r="D1245" s="213"/>
      <c r="E1245" s="213"/>
      <c r="F1245" s="213"/>
      <c r="G1245" s="213"/>
      <c r="H1245" s="213"/>
      <c r="I1245" s="213"/>
      <c r="J1245" s="213"/>
      <c r="K1245" s="213"/>
      <c r="L1245" s="260"/>
      <c r="M1245" s="212"/>
    </row>
    <row r="1246" spans="1:13">
      <c r="A1246" s="234"/>
      <c r="B1246" s="217"/>
      <c r="C1246" s="217"/>
      <c r="D1246" s="217"/>
      <c r="E1246" s="217"/>
      <c r="F1246" s="217"/>
      <c r="G1246" s="217"/>
      <c r="H1246" s="217"/>
      <c r="I1246" s="217"/>
      <c r="J1246" s="217"/>
      <c r="K1246" s="217"/>
      <c r="L1246" s="212"/>
      <c r="M1246" s="212"/>
    </row>
    <row r="1247" spans="1:13">
      <c r="A1247" s="217"/>
      <c r="B1247" s="347"/>
      <c r="C1247" s="347"/>
      <c r="D1247" s="347"/>
      <c r="E1247" s="229"/>
      <c r="F1247" s="347"/>
      <c r="G1247" s="347"/>
      <c r="H1247" s="347"/>
      <c r="I1247" s="229"/>
      <c r="J1247" s="347"/>
      <c r="K1247" s="347"/>
      <c r="L1247" s="347"/>
      <c r="M1247" s="212"/>
    </row>
    <row r="1248" spans="1:13">
      <c r="A1248" s="234"/>
      <c r="B1248" s="235"/>
      <c r="C1248" s="235"/>
      <c r="D1248" s="235"/>
      <c r="E1248" s="235"/>
      <c r="F1248" s="235"/>
      <c r="G1248" s="235"/>
      <c r="H1248" s="235"/>
      <c r="I1248" s="235"/>
      <c r="J1248" s="235"/>
      <c r="K1248" s="235"/>
      <c r="L1248" s="235"/>
      <c r="M1248" s="212"/>
    </row>
    <row r="1249" spans="1:13">
      <c r="A1249" s="234"/>
      <c r="B1249" s="235"/>
      <c r="C1249" s="235"/>
      <c r="D1249" s="235"/>
      <c r="E1249" s="235"/>
      <c r="F1249" s="235"/>
      <c r="G1249" s="235"/>
      <c r="H1249" s="235"/>
      <c r="I1249" s="235"/>
      <c r="J1249" s="235"/>
      <c r="K1249" s="235"/>
      <c r="L1249" s="235"/>
      <c r="M1249" s="212"/>
    </row>
    <row r="1250" spans="1:13">
      <c r="A1250" s="213"/>
      <c r="B1250" s="278"/>
      <c r="C1250" s="278"/>
      <c r="D1250" s="278"/>
      <c r="E1250" s="279"/>
      <c r="F1250" s="278"/>
      <c r="G1250" s="278"/>
      <c r="H1250" s="278"/>
      <c r="I1250" s="279"/>
      <c r="J1250" s="278"/>
      <c r="K1250" s="278"/>
      <c r="L1250" s="278"/>
      <c r="M1250" s="212"/>
    </row>
    <row r="1251" spans="1:13">
      <c r="A1251" s="213"/>
      <c r="B1251" s="278"/>
      <c r="C1251" s="278"/>
      <c r="D1251" s="278"/>
      <c r="E1251" s="279"/>
      <c r="F1251" s="278"/>
      <c r="G1251" s="278"/>
      <c r="H1251" s="278"/>
      <c r="I1251" s="279"/>
      <c r="J1251" s="278"/>
      <c r="K1251" s="278"/>
      <c r="L1251" s="278"/>
      <c r="M1251" s="212"/>
    </row>
    <row r="1252" spans="1:13">
      <c r="A1252" s="213"/>
      <c r="B1252" s="278"/>
      <c r="C1252" s="278"/>
      <c r="D1252" s="278"/>
      <c r="E1252" s="279"/>
      <c r="F1252" s="278"/>
      <c r="G1252" s="278"/>
      <c r="H1252" s="278"/>
      <c r="I1252" s="279"/>
      <c r="J1252" s="278"/>
      <c r="K1252" s="278"/>
      <c r="L1252" s="278"/>
      <c r="M1252" s="212"/>
    </row>
    <row r="1253" spans="1:13">
      <c r="A1253" s="213"/>
      <c r="B1253" s="278"/>
      <c r="C1253" s="278"/>
      <c r="D1253" s="278"/>
      <c r="E1253" s="279"/>
      <c r="F1253" s="278"/>
      <c r="G1253" s="278"/>
      <c r="H1253" s="278"/>
      <c r="I1253" s="279"/>
      <c r="J1253" s="278"/>
      <c r="K1253" s="278"/>
      <c r="L1253" s="278"/>
      <c r="M1253" s="212"/>
    </row>
    <row r="1254" spans="1:13">
      <c r="A1254" s="213"/>
      <c r="B1254" s="278"/>
      <c r="C1254" s="278"/>
      <c r="D1254" s="278"/>
      <c r="E1254" s="279"/>
      <c r="F1254" s="278"/>
      <c r="G1254" s="278"/>
      <c r="H1254" s="278"/>
      <c r="I1254" s="279"/>
      <c r="J1254" s="278"/>
      <c r="K1254" s="278"/>
      <c r="L1254" s="278"/>
      <c r="M1254" s="212"/>
    </row>
    <row r="1255" spans="1:13">
      <c r="A1255" s="213"/>
      <c r="B1255" s="278"/>
      <c r="C1255" s="278"/>
      <c r="D1255" s="278"/>
      <c r="E1255" s="279"/>
      <c r="F1255" s="278"/>
      <c r="G1255" s="278"/>
      <c r="H1255" s="278"/>
      <c r="I1255" s="279"/>
      <c r="J1255" s="278"/>
      <c r="K1255" s="278"/>
      <c r="L1255" s="278"/>
      <c r="M1255" s="212"/>
    </row>
    <row r="1256" spans="1:13">
      <c r="A1256" s="213"/>
      <c r="B1256" s="278"/>
      <c r="C1256" s="278"/>
      <c r="D1256" s="278"/>
      <c r="E1256" s="279"/>
      <c r="F1256" s="278"/>
      <c r="G1256" s="278"/>
      <c r="H1256" s="278"/>
      <c r="I1256" s="279"/>
      <c r="J1256" s="278"/>
      <c r="K1256" s="278"/>
      <c r="L1256" s="278"/>
      <c r="M1256" s="212"/>
    </row>
    <row r="1257" spans="1:13">
      <c r="A1257" s="213"/>
      <c r="B1257" s="278"/>
      <c r="C1257" s="278"/>
      <c r="D1257" s="278"/>
      <c r="E1257" s="279"/>
      <c r="F1257" s="278"/>
      <c r="G1257" s="278"/>
      <c r="H1257" s="278"/>
      <c r="I1257" s="279"/>
      <c r="J1257" s="278"/>
      <c r="K1257" s="278"/>
      <c r="L1257" s="278"/>
      <c r="M1257" s="212"/>
    </row>
    <row r="1258" spans="1:13">
      <c r="A1258" s="213"/>
      <c r="B1258" s="278"/>
      <c r="C1258" s="278"/>
      <c r="D1258" s="278"/>
      <c r="E1258" s="279"/>
      <c r="F1258" s="278"/>
      <c r="G1258" s="278"/>
      <c r="H1258" s="278"/>
      <c r="I1258" s="279"/>
      <c r="J1258" s="278"/>
      <c r="K1258" s="278"/>
      <c r="L1258" s="278"/>
      <c r="M1258" s="212"/>
    </row>
    <row r="1259" spans="1:13">
      <c r="A1259" s="213"/>
      <c r="B1259" s="278"/>
      <c r="C1259" s="278"/>
      <c r="D1259" s="278"/>
      <c r="E1259" s="279"/>
      <c r="F1259" s="278"/>
      <c r="G1259" s="278"/>
      <c r="H1259" s="278"/>
      <c r="I1259" s="279"/>
      <c r="J1259" s="278"/>
      <c r="K1259" s="278"/>
      <c r="L1259" s="278"/>
      <c r="M1259" s="212"/>
    </row>
    <row r="1260" spans="1:13">
      <c r="A1260" s="213"/>
      <c r="B1260" s="279"/>
      <c r="C1260" s="279"/>
      <c r="D1260" s="279"/>
      <c r="E1260" s="279"/>
      <c r="F1260" s="279"/>
      <c r="G1260" s="279"/>
      <c r="H1260" s="279"/>
      <c r="I1260" s="279"/>
      <c r="J1260" s="279"/>
      <c r="K1260" s="279"/>
      <c r="L1260" s="279"/>
      <c r="M1260" s="212"/>
    </row>
    <row r="1261" spans="1:13">
      <c r="A1261" s="213"/>
      <c r="B1261" s="213"/>
      <c r="C1261" s="213"/>
      <c r="D1261" s="213"/>
      <c r="E1261" s="213"/>
      <c r="F1261" s="213"/>
      <c r="G1261" s="213"/>
      <c r="H1261" s="213"/>
      <c r="I1261" s="213"/>
      <c r="J1261" s="213"/>
      <c r="K1261" s="213"/>
      <c r="L1261" s="216"/>
      <c r="M1261" s="212"/>
    </row>
    <row r="1262" spans="1:13">
      <c r="A1262" s="213"/>
      <c r="B1262" s="213"/>
      <c r="C1262" s="213"/>
      <c r="D1262" s="213"/>
      <c r="E1262" s="213"/>
      <c r="F1262" s="213"/>
      <c r="G1262" s="213"/>
      <c r="H1262" s="213"/>
      <c r="I1262" s="213"/>
      <c r="J1262" s="213"/>
      <c r="K1262" s="213"/>
      <c r="L1262" s="260"/>
      <c r="M1262" s="212"/>
    </row>
    <row r="1263" spans="1:13">
      <c r="A1263" s="234"/>
      <c r="B1263" s="217"/>
      <c r="C1263" s="217"/>
      <c r="D1263" s="217"/>
      <c r="E1263" s="217"/>
      <c r="F1263" s="217"/>
      <c r="G1263" s="217"/>
      <c r="H1263" s="217"/>
      <c r="I1263" s="217"/>
      <c r="J1263" s="217"/>
      <c r="K1263" s="217"/>
      <c r="L1263" s="212"/>
      <c r="M1263" s="212"/>
    </row>
    <row r="1264" spans="1:13">
      <c r="A1264" s="217"/>
      <c r="B1264" s="347"/>
      <c r="C1264" s="347"/>
      <c r="D1264" s="347"/>
      <c r="E1264" s="229"/>
      <c r="F1264" s="347"/>
      <c r="G1264" s="347"/>
      <c r="H1264" s="347"/>
      <c r="I1264" s="229"/>
      <c r="J1264" s="347"/>
      <c r="K1264" s="347"/>
      <c r="L1264" s="347"/>
      <c r="M1264" s="212"/>
    </row>
    <row r="1265" spans="1:13">
      <c r="A1265" s="234"/>
      <c r="B1265" s="235"/>
      <c r="C1265" s="235"/>
      <c r="D1265" s="235"/>
      <c r="E1265" s="235"/>
      <c r="F1265" s="235"/>
      <c r="G1265" s="235"/>
      <c r="H1265" s="235"/>
      <c r="I1265" s="235"/>
      <c r="J1265" s="235"/>
      <c r="K1265" s="235"/>
      <c r="L1265" s="235"/>
      <c r="M1265" s="212"/>
    </row>
    <row r="1266" spans="1:13">
      <c r="A1266" s="234"/>
      <c r="B1266" s="235"/>
      <c r="C1266" s="235"/>
      <c r="D1266" s="235"/>
      <c r="E1266" s="235"/>
      <c r="F1266" s="235"/>
      <c r="G1266" s="235"/>
      <c r="H1266" s="235"/>
      <c r="I1266" s="235"/>
      <c r="J1266" s="235"/>
      <c r="K1266" s="235"/>
      <c r="L1266" s="235"/>
      <c r="M1266" s="212"/>
    </row>
    <row r="1267" spans="1:13">
      <c r="A1267" s="213"/>
      <c r="B1267" s="278"/>
      <c r="C1267" s="278"/>
      <c r="D1267" s="278"/>
      <c r="E1267" s="279"/>
      <c r="F1267" s="278"/>
      <c r="G1267" s="278"/>
      <c r="H1267" s="278"/>
      <c r="I1267" s="279"/>
      <c r="J1267" s="278"/>
      <c r="K1267" s="278"/>
      <c r="L1267" s="278"/>
      <c r="M1267" s="212"/>
    </row>
    <row r="1268" spans="1:13">
      <c r="A1268" s="213"/>
      <c r="B1268" s="278"/>
      <c r="C1268" s="278"/>
      <c r="D1268" s="278"/>
      <c r="E1268" s="279"/>
      <c r="F1268" s="278"/>
      <c r="G1268" s="278"/>
      <c r="H1268" s="278"/>
      <c r="I1268" s="279"/>
      <c r="J1268" s="278"/>
      <c r="K1268" s="278"/>
      <c r="L1268" s="278"/>
      <c r="M1268" s="212"/>
    </row>
    <row r="1269" spans="1:13">
      <c r="A1269" s="213"/>
      <c r="B1269" s="278"/>
      <c r="C1269" s="278"/>
      <c r="D1269" s="278"/>
      <c r="E1269" s="279"/>
      <c r="F1269" s="278"/>
      <c r="G1269" s="278"/>
      <c r="H1269" s="278"/>
      <c r="I1269" s="279"/>
      <c r="J1269" s="278"/>
      <c r="K1269" s="278"/>
      <c r="L1269" s="278"/>
      <c r="M1269" s="212"/>
    </row>
    <row r="1270" spans="1:13">
      <c r="A1270" s="213"/>
      <c r="B1270" s="278"/>
      <c r="C1270" s="278"/>
      <c r="D1270" s="278"/>
      <c r="E1270" s="279"/>
      <c r="F1270" s="278"/>
      <c r="G1270" s="278"/>
      <c r="H1270" s="278"/>
      <c r="I1270" s="279"/>
      <c r="J1270" s="278"/>
      <c r="K1270" s="278"/>
      <c r="L1270" s="278"/>
      <c r="M1270" s="212"/>
    </row>
    <row r="1271" spans="1:13">
      <c r="A1271" s="213"/>
      <c r="B1271" s="278"/>
      <c r="C1271" s="278"/>
      <c r="D1271" s="278"/>
      <c r="E1271" s="279"/>
      <c r="F1271" s="278"/>
      <c r="G1271" s="278"/>
      <c r="H1271" s="278"/>
      <c r="I1271" s="279"/>
      <c r="J1271" s="278"/>
      <c r="K1271" s="278"/>
      <c r="L1271" s="278"/>
      <c r="M1271" s="212"/>
    </row>
    <row r="1272" spans="1:13">
      <c r="A1272" s="213"/>
      <c r="B1272" s="278"/>
      <c r="C1272" s="278"/>
      <c r="D1272" s="278"/>
      <c r="E1272" s="279"/>
      <c r="F1272" s="278"/>
      <c r="G1272" s="278"/>
      <c r="H1272" s="278"/>
      <c r="I1272" s="279"/>
      <c r="J1272" s="278"/>
      <c r="K1272" s="278"/>
      <c r="L1272" s="278"/>
      <c r="M1272" s="212"/>
    </row>
    <row r="1273" spans="1:13">
      <c r="A1273" s="213"/>
      <c r="B1273" s="278"/>
      <c r="C1273" s="278"/>
      <c r="D1273" s="278"/>
      <c r="E1273" s="279"/>
      <c r="F1273" s="278"/>
      <c r="G1273" s="278"/>
      <c r="H1273" s="278"/>
      <c r="I1273" s="279"/>
      <c r="J1273" s="278"/>
      <c r="K1273" s="278"/>
      <c r="L1273" s="278"/>
      <c r="M1273" s="212"/>
    </row>
    <row r="1274" spans="1:13">
      <c r="A1274" s="213"/>
      <c r="B1274" s="278"/>
      <c r="C1274" s="278"/>
      <c r="D1274" s="278"/>
      <c r="E1274" s="279"/>
      <c r="F1274" s="278"/>
      <c r="G1274" s="278"/>
      <c r="H1274" s="278"/>
      <c r="I1274" s="279"/>
      <c r="J1274" s="278"/>
      <c r="K1274" s="278"/>
      <c r="L1274" s="278"/>
      <c r="M1274" s="212"/>
    </row>
    <row r="1275" spans="1:13">
      <c r="A1275" s="213"/>
      <c r="B1275" s="278"/>
      <c r="C1275" s="278"/>
      <c r="D1275" s="278"/>
      <c r="E1275" s="279"/>
      <c r="F1275" s="278"/>
      <c r="G1275" s="278"/>
      <c r="H1275" s="278"/>
      <c r="I1275" s="279"/>
      <c r="J1275" s="278"/>
      <c r="K1275" s="278"/>
      <c r="L1275" s="278"/>
      <c r="M1275" s="212"/>
    </row>
    <row r="1276" spans="1:13">
      <c r="A1276" s="213"/>
      <c r="B1276" s="278"/>
      <c r="C1276" s="278"/>
      <c r="D1276" s="278"/>
      <c r="E1276" s="279"/>
      <c r="F1276" s="278"/>
      <c r="G1276" s="278"/>
      <c r="H1276" s="278"/>
      <c r="I1276" s="279"/>
      <c r="J1276" s="278"/>
      <c r="K1276" s="278"/>
      <c r="L1276" s="278"/>
      <c r="M1276" s="212"/>
    </row>
    <row r="1277" spans="1:13">
      <c r="A1277" s="213"/>
      <c r="B1277" s="279"/>
      <c r="C1277" s="279"/>
      <c r="D1277" s="279"/>
      <c r="E1277" s="279"/>
      <c r="F1277" s="279"/>
      <c r="G1277" s="279"/>
      <c r="H1277" s="279"/>
      <c r="I1277" s="279"/>
      <c r="J1277" s="279"/>
      <c r="K1277" s="279"/>
      <c r="L1277" s="279"/>
      <c r="M1277" s="212"/>
    </row>
    <row r="1278" spans="1:13">
      <c r="A1278" s="213"/>
      <c r="B1278" s="213"/>
      <c r="C1278" s="213"/>
      <c r="D1278" s="213"/>
      <c r="E1278" s="213"/>
      <c r="F1278" s="213"/>
      <c r="G1278" s="213"/>
      <c r="H1278" s="213"/>
      <c r="I1278" s="213"/>
      <c r="J1278" s="213"/>
      <c r="K1278" s="213"/>
      <c r="L1278" s="216"/>
      <c r="M1278" s="212"/>
    </row>
    <row r="1279" spans="1:13">
      <c r="A1279" s="213"/>
      <c r="B1279" s="213"/>
      <c r="C1279" s="213"/>
      <c r="D1279" s="213"/>
      <c r="E1279" s="213"/>
      <c r="F1279" s="213"/>
      <c r="G1279" s="213"/>
      <c r="H1279" s="213"/>
      <c r="I1279" s="213"/>
      <c r="J1279" s="213"/>
      <c r="K1279" s="213"/>
      <c r="L1279" s="260"/>
      <c r="M1279" s="212"/>
    </row>
    <row r="1280" spans="1:13">
      <c r="A1280" s="234"/>
      <c r="B1280" s="217"/>
      <c r="C1280" s="217"/>
      <c r="D1280" s="217"/>
      <c r="E1280" s="217"/>
      <c r="F1280" s="217"/>
      <c r="G1280" s="217"/>
      <c r="H1280" s="217"/>
      <c r="I1280" s="217"/>
      <c r="J1280" s="217"/>
      <c r="K1280" s="217"/>
      <c r="L1280" s="212"/>
      <c r="M1280" s="212"/>
    </row>
    <row r="1281" spans="1:13">
      <c r="A1281" s="217"/>
      <c r="B1281" s="347"/>
      <c r="C1281" s="347"/>
      <c r="D1281" s="347"/>
      <c r="E1281" s="229"/>
      <c r="F1281" s="347"/>
      <c r="G1281" s="347"/>
      <c r="H1281" s="347"/>
      <c r="I1281" s="229"/>
      <c r="J1281" s="347"/>
      <c r="K1281" s="347"/>
      <c r="L1281" s="347"/>
      <c r="M1281" s="212"/>
    </row>
    <row r="1282" spans="1:13">
      <c r="A1282" s="234"/>
      <c r="B1282" s="235"/>
      <c r="C1282" s="235"/>
      <c r="D1282" s="235"/>
      <c r="E1282" s="235"/>
      <c r="F1282" s="235"/>
      <c r="G1282" s="235"/>
      <c r="H1282" s="235"/>
      <c r="I1282" s="235"/>
      <c r="J1282" s="235"/>
      <c r="K1282" s="235"/>
      <c r="L1282" s="235"/>
      <c r="M1282" s="212"/>
    </row>
    <row r="1283" spans="1:13">
      <c r="A1283" s="234"/>
      <c r="B1283" s="235"/>
      <c r="C1283" s="235"/>
      <c r="D1283" s="235"/>
      <c r="E1283" s="235"/>
      <c r="F1283" s="235"/>
      <c r="G1283" s="235"/>
      <c r="H1283" s="235"/>
      <c r="I1283" s="235"/>
      <c r="J1283" s="235"/>
      <c r="K1283" s="235"/>
      <c r="L1283" s="235"/>
      <c r="M1283" s="212"/>
    </row>
    <row r="1284" spans="1:13">
      <c r="A1284" s="213"/>
      <c r="B1284" s="278"/>
      <c r="C1284" s="278"/>
      <c r="D1284" s="278"/>
      <c r="E1284" s="279"/>
      <c r="F1284" s="278"/>
      <c r="G1284" s="278"/>
      <c r="H1284" s="278"/>
      <c r="I1284" s="279"/>
      <c r="J1284" s="278"/>
      <c r="K1284" s="278"/>
      <c r="L1284" s="278"/>
      <c r="M1284" s="212"/>
    </row>
    <row r="1285" spans="1:13">
      <c r="A1285" s="213"/>
      <c r="B1285" s="278"/>
      <c r="C1285" s="278"/>
      <c r="D1285" s="278"/>
      <c r="E1285" s="279"/>
      <c r="F1285" s="278"/>
      <c r="G1285" s="278"/>
      <c r="H1285" s="278"/>
      <c r="I1285" s="279"/>
      <c r="J1285" s="278"/>
      <c r="K1285" s="278"/>
      <c r="L1285" s="278"/>
      <c r="M1285" s="212"/>
    </row>
    <row r="1286" spans="1:13">
      <c r="A1286" s="213"/>
      <c r="B1286" s="278"/>
      <c r="C1286" s="278"/>
      <c r="D1286" s="278"/>
      <c r="E1286" s="279"/>
      <c r="F1286" s="278"/>
      <c r="G1286" s="278"/>
      <c r="H1286" s="278"/>
      <c r="I1286" s="279"/>
      <c r="J1286" s="278"/>
      <c r="K1286" s="278"/>
      <c r="L1286" s="278"/>
      <c r="M1286" s="212"/>
    </row>
    <row r="1287" spans="1:13">
      <c r="A1287" s="213"/>
      <c r="B1287" s="278"/>
      <c r="C1287" s="278"/>
      <c r="D1287" s="278"/>
      <c r="E1287" s="279"/>
      <c r="F1287" s="278"/>
      <c r="G1287" s="278"/>
      <c r="H1287" s="278"/>
      <c r="I1287" s="279"/>
      <c r="J1287" s="278"/>
      <c r="K1287" s="278"/>
      <c r="L1287" s="278"/>
      <c r="M1287" s="212"/>
    </row>
    <row r="1288" spans="1:13">
      <c r="A1288" s="213"/>
      <c r="B1288" s="278"/>
      <c r="C1288" s="278"/>
      <c r="D1288" s="278"/>
      <c r="E1288" s="279"/>
      <c r="F1288" s="278"/>
      <c r="G1288" s="278"/>
      <c r="H1288" s="278"/>
      <c r="I1288" s="279"/>
      <c r="J1288" s="278"/>
      <c r="K1288" s="278"/>
      <c r="L1288" s="278"/>
      <c r="M1288" s="212"/>
    </row>
    <row r="1289" spans="1:13">
      <c r="A1289" s="213"/>
      <c r="B1289" s="278"/>
      <c r="C1289" s="278"/>
      <c r="D1289" s="278"/>
      <c r="E1289" s="279"/>
      <c r="F1289" s="278"/>
      <c r="G1289" s="278"/>
      <c r="H1289" s="278"/>
      <c r="I1289" s="279"/>
      <c r="J1289" s="278"/>
      <c r="K1289" s="278"/>
      <c r="L1289" s="278"/>
      <c r="M1289" s="212"/>
    </row>
    <row r="1290" spans="1:13">
      <c r="A1290" s="213"/>
      <c r="B1290" s="278"/>
      <c r="C1290" s="278"/>
      <c r="D1290" s="278"/>
      <c r="E1290" s="279"/>
      <c r="F1290" s="278"/>
      <c r="G1290" s="278"/>
      <c r="H1290" s="278"/>
      <c r="I1290" s="279"/>
      <c r="J1290" s="278"/>
      <c r="K1290" s="278"/>
      <c r="L1290" s="278"/>
      <c r="M1290" s="212"/>
    </row>
    <row r="1291" spans="1:13">
      <c r="A1291" s="213"/>
      <c r="B1291" s="278"/>
      <c r="C1291" s="278"/>
      <c r="D1291" s="278"/>
      <c r="E1291" s="279"/>
      <c r="F1291" s="278"/>
      <c r="G1291" s="278"/>
      <c r="H1291" s="278"/>
      <c r="I1291" s="279"/>
      <c r="J1291" s="278"/>
      <c r="K1291" s="278"/>
      <c r="L1291" s="278"/>
      <c r="M1291" s="212"/>
    </row>
    <row r="1292" spans="1:13">
      <c r="A1292" s="213"/>
      <c r="B1292" s="278"/>
      <c r="C1292" s="278"/>
      <c r="D1292" s="278"/>
      <c r="E1292" s="279"/>
      <c r="F1292" s="278"/>
      <c r="G1292" s="278"/>
      <c r="H1292" s="278"/>
      <c r="I1292" s="279"/>
      <c r="J1292" s="278"/>
      <c r="K1292" s="278"/>
      <c r="L1292" s="278"/>
      <c r="M1292" s="212"/>
    </row>
    <row r="1293" spans="1:13">
      <c r="A1293" s="213"/>
      <c r="B1293" s="278"/>
      <c r="C1293" s="278"/>
      <c r="D1293" s="278"/>
      <c r="E1293" s="279"/>
      <c r="F1293" s="278"/>
      <c r="G1293" s="278"/>
      <c r="H1293" s="278"/>
      <c r="I1293" s="279"/>
      <c r="J1293" s="278"/>
      <c r="K1293" s="278"/>
      <c r="L1293" s="278"/>
      <c r="M1293" s="212"/>
    </row>
    <row r="1294" spans="1:13">
      <c r="A1294" s="213"/>
      <c r="B1294" s="279"/>
      <c r="C1294" s="279"/>
      <c r="D1294" s="279"/>
      <c r="E1294" s="279"/>
      <c r="F1294" s="279"/>
      <c r="G1294" s="279"/>
      <c r="H1294" s="279"/>
      <c r="I1294" s="279"/>
      <c r="J1294" s="279"/>
      <c r="K1294" s="279"/>
      <c r="L1294" s="279"/>
      <c r="M1294" s="212"/>
    </row>
    <row r="1295" spans="1:13">
      <c r="A1295" s="213"/>
      <c r="B1295" s="213"/>
      <c r="C1295" s="213"/>
      <c r="D1295" s="213"/>
      <c r="E1295" s="213"/>
      <c r="F1295" s="213"/>
      <c r="G1295" s="213"/>
      <c r="H1295" s="213"/>
      <c r="I1295" s="213"/>
      <c r="J1295" s="213"/>
      <c r="K1295" s="213"/>
      <c r="L1295" s="216"/>
      <c r="M1295" s="212"/>
    </row>
    <row r="1296" spans="1:13">
      <c r="A1296" s="213"/>
      <c r="B1296" s="213"/>
      <c r="C1296" s="213"/>
      <c r="D1296" s="213"/>
      <c r="E1296" s="213"/>
      <c r="F1296" s="213"/>
      <c r="G1296" s="213"/>
      <c r="H1296" s="213"/>
      <c r="I1296" s="213"/>
      <c r="J1296" s="213"/>
      <c r="K1296" s="213"/>
      <c r="L1296" s="260"/>
      <c r="M1296" s="212"/>
    </row>
    <row r="1297" spans="1:13">
      <c r="A1297" s="234"/>
      <c r="B1297" s="217"/>
      <c r="C1297" s="217"/>
      <c r="D1297" s="217"/>
      <c r="E1297" s="217"/>
      <c r="F1297" s="217"/>
      <c r="G1297" s="217"/>
      <c r="H1297" s="217"/>
      <c r="I1297" s="217"/>
      <c r="J1297" s="217"/>
      <c r="K1297" s="217"/>
      <c r="L1297" s="212"/>
      <c r="M1297" s="212"/>
    </row>
    <row r="1298" spans="1:13">
      <c r="A1298" s="217"/>
      <c r="B1298" s="347"/>
      <c r="C1298" s="347"/>
      <c r="D1298" s="347"/>
      <c r="E1298" s="229"/>
      <c r="F1298" s="347"/>
      <c r="G1298" s="347"/>
      <c r="H1298" s="347"/>
      <c r="I1298" s="229"/>
      <c r="J1298" s="347"/>
      <c r="K1298" s="347"/>
      <c r="L1298" s="347"/>
      <c r="M1298" s="212"/>
    </row>
    <row r="1299" spans="1:13">
      <c r="A1299" s="234"/>
      <c r="B1299" s="235"/>
      <c r="C1299" s="235"/>
      <c r="D1299" s="235"/>
      <c r="E1299" s="235"/>
      <c r="F1299" s="235"/>
      <c r="G1299" s="235"/>
      <c r="H1299" s="235"/>
      <c r="I1299" s="235"/>
      <c r="J1299" s="235"/>
      <c r="K1299" s="235"/>
      <c r="L1299" s="235"/>
      <c r="M1299" s="212"/>
    </row>
    <row r="1300" spans="1:13">
      <c r="A1300" s="234"/>
      <c r="B1300" s="235"/>
      <c r="C1300" s="235"/>
      <c r="D1300" s="235"/>
      <c r="E1300" s="235"/>
      <c r="F1300" s="235"/>
      <c r="G1300" s="235"/>
      <c r="H1300" s="235"/>
      <c r="I1300" s="235"/>
      <c r="J1300" s="235"/>
      <c r="K1300" s="235"/>
      <c r="L1300" s="235"/>
      <c r="M1300" s="212"/>
    </row>
    <row r="1301" spans="1:13">
      <c r="A1301" s="213"/>
      <c r="B1301" s="278"/>
      <c r="C1301" s="278"/>
      <c r="D1301" s="278"/>
      <c r="E1301" s="279"/>
      <c r="F1301" s="278"/>
      <c r="G1301" s="278"/>
      <c r="H1301" s="278"/>
      <c r="I1301" s="279"/>
      <c r="J1301" s="278"/>
      <c r="K1301" s="278"/>
      <c r="L1301" s="278"/>
      <c r="M1301" s="212"/>
    </row>
    <row r="1302" spans="1:13">
      <c r="A1302" s="213"/>
      <c r="B1302" s="278"/>
      <c r="C1302" s="278"/>
      <c r="D1302" s="278"/>
      <c r="E1302" s="279"/>
      <c r="F1302" s="278"/>
      <c r="G1302" s="278"/>
      <c r="H1302" s="278"/>
      <c r="I1302" s="279"/>
      <c r="J1302" s="278"/>
      <c r="K1302" s="278"/>
      <c r="L1302" s="278"/>
      <c r="M1302" s="212"/>
    </row>
    <row r="1303" spans="1:13">
      <c r="A1303" s="213"/>
      <c r="B1303" s="278"/>
      <c r="C1303" s="278"/>
      <c r="D1303" s="278"/>
      <c r="E1303" s="279"/>
      <c r="F1303" s="278"/>
      <c r="G1303" s="278"/>
      <c r="H1303" s="278"/>
      <c r="I1303" s="279"/>
      <c r="J1303" s="278"/>
      <c r="K1303" s="278"/>
      <c r="L1303" s="278"/>
      <c r="M1303" s="212"/>
    </row>
    <row r="1304" spans="1:13">
      <c r="A1304" s="213"/>
      <c r="B1304" s="278"/>
      <c r="C1304" s="278"/>
      <c r="D1304" s="278"/>
      <c r="E1304" s="279"/>
      <c r="F1304" s="278"/>
      <c r="G1304" s="278"/>
      <c r="H1304" s="278"/>
      <c r="I1304" s="279"/>
      <c r="J1304" s="278"/>
      <c r="K1304" s="278"/>
      <c r="L1304" s="278"/>
      <c r="M1304" s="212"/>
    </row>
    <row r="1305" spans="1:13">
      <c r="A1305" s="213"/>
      <c r="B1305" s="278"/>
      <c r="C1305" s="278"/>
      <c r="D1305" s="278"/>
      <c r="E1305" s="279"/>
      <c r="F1305" s="278"/>
      <c r="G1305" s="278"/>
      <c r="H1305" s="278"/>
      <c r="I1305" s="279"/>
      <c r="J1305" s="278"/>
      <c r="K1305" s="278"/>
      <c r="L1305" s="278"/>
      <c r="M1305" s="212"/>
    </row>
    <row r="1306" spans="1:13">
      <c r="A1306" s="213"/>
      <c r="B1306" s="278"/>
      <c r="C1306" s="278"/>
      <c r="D1306" s="278"/>
      <c r="E1306" s="279"/>
      <c r="F1306" s="278"/>
      <c r="G1306" s="278"/>
      <c r="H1306" s="278"/>
      <c r="I1306" s="279"/>
      <c r="J1306" s="278"/>
      <c r="K1306" s="278"/>
      <c r="L1306" s="278"/>
      <c r="M1306" s="212"/>
    </row>
    <row r="1307" spans="1:13">
      <c r="A1307" s="213"/>
      <c r="B1307" s="278"/>
      <c r="C1307" s="278"/>
      <c r="D1307" s="278"/>
      <c r="E1307" s="279"/>
      <c r="F1307" s="278"/>
      <c r="G1307" s="278"/>
      <c r="H1307" s="278"/>
      <c r="I1307" s="279"/>
      <c r="J1307" s="278"/>
      <c r="K1307" s="278"/>
      <c r="L1307" s="278"/>
      <c r="M1307" s="212"/>
    </row>
    <row r="1308" spans="1:13">
      <c r="A1308" s="213"/>
      <c r="B1308" s="278"/>
      <c r="C1308" s="278"/>
      <c r="D1308" s="278"/>
      <c r="E1308" s="279"/>
      <c r="F1308" s="278"/>
      <c r="G1308" s="278"/>
      <c r="H1308" s="278"/>
      <c r="I1308" s="279"/>
      <c r="J1308" s="278"/>
      <c r="K1308" s="278"/>
      <c r="L1308" s="278"/>
      <c r="M1308" s="212"/>
    </row>
    <row r="1309" spans="1:13">
      <c r="A1309" s="213"/>
      <c r="B1309" s="278"/>
      <c r="C1309" s="278"/>
      <c r="D1309" s="278"/>
      <c r="E1309" s="279"/>
      <c r="F1309" s="278"/>
      <c r="G1309" s="278"/>
      <c r="H1309" s="278"/>
      <c r="I1309" s="279"/>
      <c r="J1309" s="278"/>
      <c r="K1309" s="278"/>
      <c r="L1309" s="278"/>
      <c r="M1309" s="212"/>
    </row>
    <row r="1310" spans="1:13">
      <c r="A1310" s="213"/>
      <c r="B1310" s="278"/>
      <c r="C1310" s="278"/>
      <c r="D1310" s="278"/>
      <c r="E1310" s="279"/>
      <c r="F1310" s="278"/>
      <c r="G1310" s="278"/>
      <c r="H1310" s="278"/>
      <c r="I1310" s="279"/>
      <c r="J1310" s="278"/>
      <c r="K1310" s="278"/>
      <c r="L1310" s="278"/>
      <c r="M1310" s="212"/>
    </row>
    <row r="1311" spans="1:13">
      <c r="A1311" s="213"/>
      <c r="B1311" s="279"/>
      <c r="C1311" s="279"/>
      <c r="D1311" s="279"/>
      <c r="E1311" s="279"/>
      <c r="F1311" s="279"/>
      <c r="G1311" s="279"/>
      <c r="H1311" s="279"/>
      <c r="I1311" s="279"/>
      <c r="J1311" s="279"/>
      <c r="K1311" s="279"/>
      <c r="L1311" s="279"/>
      <c r="M1311" s="212"/>
    </row>
    <row r="1312" spans="1:13">
      <c r="A1312" s="213"/>
      <c r="B1312" s="213"/>
      <c r="C1312" s="213"/>
      <c r="D1312" s="213"/>
      <c r="E1312" s="213"/>
      <c r="F1312" s="213"/>
      <c r="G1312" s="213"/>
      <c r="H1312" s="213"/>
      <c r="I1312" s="213"/>
      <c r="J1312" s="213"/>
      <c r="K1312" s="213"/>
      <c r="L1312" s="216"/>
      <c r="M1312" s="212"/>
    </row>
  </sheetData>
  <mergeCells count="231">
    <mergeCell ref="B6:D6"/>
    <mergeCell ref="F6:H6"/>
    <mergeCell ref="J6:L6"/>
    <mergeCell ref="N6:O6"/>
    <mergeCell ref="Q6:R6"/>
    <mergeCell ref="T6:U6"/>
    <mergeCell ref="B74:D74"/>
    <mergeCell ref="F74:H74"/>
    <mergeCell ref="J74:L74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>
      <c r="A1" s="18" t="str">
        <f>CONCATENATE("Occupation Table 5  Employment Change by Status (SOC 2020), ",B$5,"-",L$5,", ",Info!B5)</f>
        <v>Occupation Table 5  Employment Change by Status (SOC 2020), 2015-2035, Black Country</v>
      </c>
      <c r="Q1" s="18" t="str">
        <f>CONCATENATE("Occupation Table 5.1  Males: Employment Change by Status (SOC 2020), ",B$5,"-",L$5,", ",Info!B5)</f>
        <v>Occupation Table 5.1  Males: Employment Change by Status (SOC 2020), 2015-2035, Black Country</v>
      </c>
      <c r="AG1" s="18" t="str">
        <f>CONCATENATE("Occupation Table 5.2  Females: Employment Change by Status (SOC 2020), ",R$5,"-",AB$5,", ",Info!B5)</f>
        <v>Occupation Table 5.2  Females: Employment Change by Status (SOC 2020), 2015-2035, Black Country</v>
      </c>
    </row>
    <row r="2" spans="1:47">
      <c r="A2" s="1" t="s">
        <v>156</v>
      </c>
    </row>
    <row r="3" spans="1:47">
      <c r="O3" s="16" t="s">
        <v>112</v>
      </c>
      <c r="AE3" s="16" t="s">
        <v>112</v>
      </c>
      <c r="AU3" s="16" t="s">
        <v>112</v>
      </c>
    </row>
    <row r="4" spans="1:47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</row>
    <row r="5" spans="1:47">
      <c r="B5" s="350">
        <v>2015</v>
      </c>
      <c r="C5" s="350"/>
      <c r="D5" s="350"/>
      <c r="E5" s="350"/>
      <c r="F5" s="1"/>
      <c r="G5" s="350">
        <v>2020</v>
      </c>
      <c r="H5" s="350"/>
      <c r="I5" s="350"/>
      <c r="J5" s="350"/>
      <c r="K5" s="1"/>
      <c r="L5" s="350">
        <v>2035</v>
      </c>
      <c r="M5" s="350"/>
      <c r="N5" s="350"/>
      <c r="O5" s="350"/>
      <c r="R5" s="350">
        <f>B5</f>
        <v>2015</v>
      </c>
      <c r="S5" s="350"/>
      <c r="T5" s="350"/>
      <c r="U5" s="350"/>
      <c r="V5" s="1"/>
      <c r="W5" s="350">
        <f>G5</f>
        <v>2020</v>
      </c>
      <c r="X5" s="350"/>
      <c r="Y5" s="350"/>
      <c r="Z5" s="350"/>
      <c r="AA5" s="1"/>
      <c r="AB5" s="350">
        <f>L5</f>
        <v>2035</v>
      </c>
      <c r="AC5" s="350"/>
      <c r="AD5" s="350"/>
      <c r="AE5" s="350"/>
      <c r="AH5" s="350">
        <f>B5</f>
        <v>2015</v>
      </c>
      <c r="AI5" s="350"/>
      <c r="AJ5" s="350"/>
      <c r="AK5" s="350"/>
      <c r="AL5" s="1"/>
      <c r="AM5" s="350">
        <f>G5</f>
        <v>2020</v>
      </c>
      <c r="AN5" s="350"/>
      <c r="AO5" s="350"/>
      <c r="AP5" s="350"/>
      <c r="AQ5" s="1"/>
      <c r="AR5" s="350">
        <f>L5</f>
        <v>2035</v>
      </c>
      <c r="AS5" s="350"/>
      <c r="AT5" s="350"/>
      <c r="AU5" s="350"/>
    </row>
    <row r="6" spans="1:47">
      <c r="A6" s="32" t="s">
        <v>113</v>
      </c>
      <c r="B6" s="309" t="s">
        <v>136</v>
      </c>
      <c r="C6" s="309" t="s">
        <v>137</v>
      </c>
      <c r="D6" s="309" t="s">
        <v>138</v>
      </c>
      <c r="E6" s="309" t="s">
        <v>117</v>
      </c>
      <c r="F6" s="310"/>
      <c r="G6" s="309" t="s">
        <v>136</v>
      </c>
      <c r="H6" s="309" t="s">
        <v>137</v>
      </c>
      <c r="I6" s="309" t="s">
        <v>138</v>
      </c>
      <c r="J6" s="309" t="s">
        <v>117</v>
      </c>
      <c r="K6" s="310"/>
      <c r="L6" s="309" t="s">
        <v>136</v>
      </c>
      <c r="M6" s="309" t="s">
        <v>137</v>
      </c>
      <c r="N6" s="309" t="s">
        <v>138</v>
      </c>
      <c r="O6" s="309" t="s">
        <v>117</v>
      </c>
      <c r="Q6" s="32" t="s">
        <v>113</v>
      </c>
      <c r="R6" s="309" t="s">
        <v>136</v>
      </c>
      <c r="S6" s="309" t="s">
        <v>137</v>
      </c>
      <c r="T6" s="309" t="s">
        <v>138</v>
      </c>
      <c r="U6" s="309" t="s">
        <v>117</v>
      </c>
      <c r="V6" s="310"/>
      <c r="W6" s="309" t="s">
        <v>136</v>
      </c>
      <c r="X6" s="309" t="s">
        <v>137</v>
      </c>
      <c r="Y6" s="309" t="s">
        <v>138</v>
      </c>
      <c r="Z6" s="309" t="s">
        <v>117</v>
      </c>
      <c r="AA6" s="310"/>
      <c r="AB6" s="309" t="s">
        <v>136</v>
      </c>
      <c r="AC6" s="309" t="s">
        <v>137</v>
      </c>
      <c r="AD6" s="309" t="s">
        <v>138</v>
      </c>
      <c r="AE6" s="309" t="s">
        <v>117</v>
      </c>
      <c r="AG6" s="32" t="s">
        <v>113</v>
      </c>
      <c r="AH6" s="309" t="s">
        <v>136</v>
      </c>
      <c r="AI6" s="309" t="s">
        <v>137</v>
      </c>
      <c r="AJ6" s="309" t="s">
        <v>138</v>
      </c>
      <c r="AK6" s="309" t="s">
        <v>117</v>
      </c>
      <c r="AL6" s="310"/>
      <c r="AM6" s="309" t="s">
        <v>136</v>
      </c>
      <c r="AN6" s="309" t="s">
        <v>137</v>
      </c>
      <c r="AO6" s="309" t="s">
        <v>138</v>
      </c>
      <c r="AP6" s="309" t="s">
        <v>117</v>
      </c>
      <c r="AQ6" s="310"/>
      <c r="AR6" s="309" t="s">
        <v>136</v>
      </c>
      <c r="AS6" s="309" t="s">
        <v>137</v>
      </c>
      <c r="AT6" s="309" t="s">
        <v>138</v>
      </c>
      <c r="AU6" s="309" t="s">
        <v>117</v>
      </c>
    </row>
    <row r="7" spans="1:47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>
      <c r="A8" t="str">
        <f>name!E4</f>
        <v>Managers, directors and senior officials</v>
      </c>
      <c r="B8" s="11">
        <v>31.133467726633242</v>
      </c>
      <c r="C8" s="11">
        <v>4.2901481335351592</v>
      </c>
      <c r="D8" s="11">
        <v>6.9691047558319577</v>
      </c>
      <c r="E8" s="11">
        <f>SUM(B8:D8)</f>
        <v>42.392720616000361</v>
      </c>
      <c r="F8" s="11"/>
      <c r="G8" s="11">
        <v>33.282767648540492</v>
      </c>
      <c r="H8" s="11">
        <v>6.6628709224389855</v>
      </c>
      <c r="I8" s="11">
        <v>7.8547289213963998</v>
      </c>
      <c r="J8" s="11">
        <f>SUM(G8:I8)</f>
        <v>47.800367492375877</v>
      </c>
      <c r="K8" s="11"/>
      <c r="L8" s="11">
        <v>32.995507163792212</v>
      </c>
      <c r="M8" s="11">
        <v>7.7703462736032822</v>
      </c>
      <c r="N8" s="11">
        <v>8.4603258491387034</v>
      </c>
      <c r="O8" s="11">
        <f>SUM(L8:N8)</f>
        <v>49.226179286534197</v>
      </c>
      <c r="Q8" s="10" t="str">
        <f>name!E4</f>
        <v>Managers, directors and senior officials</v>
      </c>
      <c r="R8" s="11">
        <v>22.219547803074704</v>
      </c>
      <c r="S8" s="11">
        <v>1.8806937793032354</v>
      </c>
      <c r="T8" s="11">
        <v>4.9339832362112359</v>
      </c>
      <c r="U8" s="11">
        <f>SUM(R8:T8)</f>
        <v>29.034224818589177</v>
      </c>
      <c r="V8" s="11"/>
      <c r="W8" s="11">
        <v>22.884150270124206</v>
      </c>
      <c r="X8" s="11">
        <v>3.0139501604199528</v>
      </c>
      <c r="Y8" s="11">
        <v>5.03008488525907</v>
      </c>
      <c r="Z8" s="11">
        <f>SUM(W8:Y8)</f>
        <v>30.928185315803226</v>
      </c>
      <c r="AA8" s="11"/>
      <c r="AB8" s="11">
        <v>21.833356575052683</v>
      </c>
      <c r="AC8" s="11">
        <v>3.2912860829262334</v>
      </c>
      <c r="AD8" s="11">
        <v>5.4463355707770225</v>
      </c>
      <c r="AE8" s="11">
        <f>SUM(AB8:AD8)</f>
        <v>30.570978228755941</v>
      </c>
      <c r="AG8" s="10" t="str">
        <f>name!E4</f>
        <v>Managers, directors and senior officials</v>
      </c>
      <c r="AH8" s="11">
        <v>8.913919923558538</v>
      </c>
      <c r="AI8" s="11">
        <v>2.4094543542319244</v>
      </c>
      <c r="AJ8" s="11">
        <v>2.0351215196207182</v>
      </c>
      <c r="AK8" s="11">
        <f>SUM(AH8:AJ8)</f>
        <v>13.35849579741118</v>
      </c>
      <c r="AL8" s="11"/>
      <c r="AM8" s="11">
        <v>10.398617378416265</v>
      </c>
      <c r="AN8" s="11">
        <v>3.6489207620190309</v>
      </c>
      <c r="AO8" s="11">
        <v>2.8246440361373324</v>
      </c>
      <c r="AP8" s="11">
        <f>SUM(AM8:AO8)</f>
        <v>16.872182176572629</v>
      </c>
      <c r="AQ8" s="11"/>
      <c r="AR8" s="11">
        <v>11.162150588739513</v>
      </c>
      <c r="AS8" s="11">
        <v>4.4790601906770444</v>
      </c>
      <c r="AT8" s="11">
        <v>3.013990278361677</v>
      </c>
      <c r="AU8" s="11">
        <f>SUM(AR8:AT8)</f>
        <v>18.655201057778235</v>
      </c>
    </row>
    <row r="9" spans="1:47">
      <c r="A9" t="str">
        <f>name!E5</f>
        <v>Professional occupations</v>
      </c>
      <c r="B9" s="11">
        <v>60.788175719151361</v>
      </c>
      <c r="C9" s="11">
        <v>17.622403704573049</v>
      </c>
      <c r="D9" s="11">
        <v>9.3033282210359243</v>
      </c>
      <c r="E9" s="11">
        <f t="shared" ref="E9:E18" si="0">SUM(B9:D9)</f>
        <v>87.71390764476034</v>
      </c>
      <c r="F9" s="11"/>
      <c r="G9" s="11">
        <v>70.980159490467202</v>
      </c>
      <c r="H9" s="11">
        <v>21.956036427019846</v>
      </c>
      <c r="I9" s="11">
        <v>10.607637322201459</v>
      </c>
      <c r="J9" s="11">
        <f t="shared" ref="J9:J16" si="1">SUM(G9:I9)</f>
        <v>103.54383323968851</v>
      </c>
      <c r="K9" s="11"/>
      <c r="L9" s="11">
        <v>85.229934199547102</v>
      </c>
      <c r="M9" s="11">
        <v>26.624876266499754</v>
      </c>
      <c r="N9" s="11">
        <v>9.884407032503848</v>
      </c>
      <c r="O9" s="11">
        <f t="shared" ref="O9:O16" si="2">SUM(L9:N9)</f>
        <v>121.7392174985507</v>
      </c>
      <c r="Q9" s="10" t="str">
        <f>name!E5</f>
        <v>Professional occupations</v>
      </c>
      <c r="R9" s="11">
        <v>36.062635435289593</v>
      </c>
      <c r="S9" s="11">
        <v>3.1500377580607148</v>
      </c>
      <c r="T9" s="11">
        <v>6.3217879740466447</v>
      </c>
      <c r="U9" s="11">
        <f t="shared" ref="U9:U16" si="3">SUM(R9:T9)</f>
        <v>45.534461167396948</v>
      </c>
      <c r="V9" s="11"/>
      <c r="W9" s="11">
        <v>40.126867543929812</v>
      </c>
      <c r="X9" s="11">
        <v>4.4641913214266085</v>
      </c>
      <c r="Y9" s="11">
        <v>7.4484871640698449</v>
      </c>
      <c r="Z9" s="11">
        <f t="shared" ref="Z9:Z16" si="4">SUM(W9:Y9)</f>
        <v>52.039546029426269</v>
      </c>
      <c r="AA9" s="11"/>
      <c r="AB9" s="11">
        <v>49.075097221285823</v>
      </c>
      <c r="AC9" s="11">
        <v>6.154863501544825</v>
      </c>
      <c r="AD9" s="11">
        <v>6.5358834087257147</v>
      </c>
      <c r="AE9" s="11">
        <f t="shared" ref="AE9:AE16" si="5">SUM(AB9:AD9)</f>
        <v>61.765844131556364</v>
      </c>
      <c r="AG9" s="10" t="str">
        <f>name!E5</f>
        <v>Professional occupations</v>
      </c>
      <c r="AH9" s="11">
        <v>24.725540283861761</v>
      </c>
      <c r="AI9" s="11">
        <v>14.472365946512333</v>
      </c>
      <c r="AJ9" s="11">
        <v>2.9815402469892835</v>
      </c>
      <c r="AK9" s="11">
        <f t="shared" ref="AK9:AK18" si="6">SUM(AH9:AJ9)</f>
        <v>42.179446477363378</v>
      </c>
      <c r="AL9" s="11"/>
      <c r="AM9" s="11">
        <v>30.853291946537372</v>
      </c>
      <c r="AN9" s="11">
        <v>17.491845105593239</v>
      </c>
      <c r="AO9" s="11">
        <v>3.1591501581316139</v>
      </c>
      <c r="AP9" s="11">
        <f t="shared" ref="AP9:AP18" si="7">SUM(AM9:AO9)</f>
        <v>51.504287210262227</v>
      </c>
      <c r="AQ9" s="11"/>
      <c r="AR9" s="11">
        <v>36.154836978261272</v>
      </c>
      <c r="AS9" s="11">
        <v>20.47001276495493</v>
      </c>
      <c r="AT9" s="11">
        <v>3.3485236237781284</v>
      </c>
      <c r="AU9" s="11">
        <f t="shared" ref="AU9:AU18" si="8">SUM(AR9:AT9)</f>
        <v>59.973373366994331</v>
      </c>
    </row>
    <row r="10" spans="1:47">
      <c r="A10" t="str">
        <f>name!E6</f>
        <v>Associate professional occupations</v>
      </c>
      <c r="B10" s="11">
        <v>37.406265501286313</v>
      </c>
      <c r="C10" s="11">
        <v>11.315431230188345</v>
      </c>
      <c r="D10" s="11">
        <v>7.405688632361775</v>
      </c>
      <c r="E10" s="11">
        <f t="shared" si="0"/>
        <v>56.127385363836432</v>
      </c>
      <c r="F10" s="11"/>
      <c r="G10" s="11">
        <v>40.631885586235995</v>
      </c>
      <c r="H10" s="11">
        <v>13.393550069199675</v>
      </c>
      <c r="I10" s="11">
        <v>6.7901663552149234</v>
      </c>
      <c r="J10" s="11">
        <f t="shared" si="1"/>
        <v>60.815602010650593</v>
      </c>
      <c r="K10" s="11"/>
      <c r="L10" s="11">
        <v>47.136504020032447</v>
      </c>
      <c r="M10" s="11">
        <v>17.290290435750592</v>
      </c>
      <c r="N10" s="11">
        <v>7.0831501966160744</v>
      </c>
      <c r="O10" s="11">
        <f t="shared" si="2"/>
        <v>71.509944652399113</v>
      </c>
      <c r="Q10" s="10" t="str">
        <f>name!E6</f>
        <v>Associate professional occupations</v>
      </c>
      <c r="R10" s="11">
        <v>23.949048777487516</v>
      </c>
      <c r="S10" s="11">
        <v>2.9931229929753664</v>
      </c>
      <c r="T10" s="11">
        <v>4.5030355967707472</v>
      </c>
      <c r="U10" s="11">
        <f t="shared" si="3"/>
        <v>31.445207367233628</v>
      </c>
      <c r="V10" s="11"/>
      <c r="W10" s="11">
        <v>24.544266610331491</v>
      </c>
      <c r="X10" s="11">
        <v>3.9288543078531299</v>
      </c>
      <c r="Y10" s="11">
        <v>4.3679611607666819</v>
      </c>
      <c r="Z10" s="11">
        <f t="shared" si="4"/>
        <v>32.841082078951302</v>
      </c>
      <c r="AA10" s="11"/>
      <c r="AB10" s="11">
        <v>23.697577282735917</v>
      </c>
      <c r="AC10" s="11">
        <v>4.1441361831477241</v>
      </c>
      <c r="AD10" s="11">
        <v>4.6142009240783555</v>
      </c>
      <c r="AE10" s="11">
        <f t="shared" si="5"/>
        <v>32.455914389961997</v>
      </c>
      <c r="AG10" s="10" t="str">
        <f>name!E6</f>
        <v>Associate professional occupations</v>
      </c>
      <c r="AH10" s="11">
        <v>13.457216723798789</v>
      </c>
      <c r="AI10" s="11">
        <v>8.322308237212976</v>
      </c>
      <c r="AJ10" s="11">
        <v>2.9026530355910261</v>
      </c>
      <c r="AK10" s="11">
        <f t="shared" si="6"/>
        <v>24.682177996602793</v>
      </c>
      <c r="AL10" s="11"/>
      <c r="AM10" s="11">
        <v>16.087618975904487</v>
      </c>
      <c r="AN10" s="11">
        <v>9.4646957613465439</v>
      </c>
      <c r="AO10" s="11">
        <v>2.4222051944482397</v>
      </c>
      <c r="AP10" s="11">
        <f t="shared" si="7"/>
        <v>27.97451993169927</v>
      </c>
      <c r="AQ10" s="11"/>
      <c r="AR10" s="11">
        <v>23.438926737296526</v>
      </c>
      <c r="AS10" s="11">
        <v>13.146154252602868</v>
      </c>
      <c r="AT10" s="11">
        <v>2.4689492725377158</v>
      </c>
      <c r="AU10" s="11">
        <f t="shared" si="8"/>
        <v>39.054030262437109</v>
      </c>
    </row>
    <row r="11" spans="1:47">
      <c r="A11" t="str">
        <f>name!E7</f>
        <v>Administrative and secretarial occupations</v>
      </c>
      <c r="B11" s="11">
        <v>33.384017282519288</v>
      </c>
      <c r="C11" s="11">
        <v>24.630183111958107</v>
      </c>
      <c r="D11" s="11">
        <v>2.1237523413864934</v>
      </c>
      <c r="E11" s="11">
        <f t="shared" si="0"/>
        <v>60.137952735863891</v>
      </c>
      <c r="F11" s="11"/>
      <c r="G11" s="11">
        <v>31.524575397802156</v>
      </c>
      <c r="H11" s="11">
        <v>23.339216224237727</v>
      </c>
      <c r="I11" s="11">
        <v>1.6146086611746686</v>
      </c>
      <c r="J11" s="11">
        <f t="shared" si="1"/>
        <v>56.478400283214555</v>
      </c>
      <c r="K11" s="11"/>
      <c r="L11" s="11">
        <v>31.591179016438875</v>
      </c>
      <c r="M11" s="11">
        <v>20.525634016161856</v>
      </c>
      <c r="N11" s="11">
        <v>1.4104578634164717</v>
      </c>
      <c r="O11" s="11">
        <f t="shared" si="2"/>
        <v>53.5272708960172</v>
      </c>
      <c r="Q11" s="10" t="str">
        <f>name!E7</f>
        <v>Administrative and secretarial occupations</v>
      </c>
      <c r="R11" s="11">
        <v>11.999504979802941</v>
      </c>
      <c r="S11" s="11">
        <v>3.9559878528890513</v>
      </c>
      <c r="T11" s="11">
        <v>0.64245569741450126</v>
      </c>
      <c r="U11" s="11">
        <f t="shared" si="3"/>
        <v>16.597948530106493</v>
      </c>
      <c r="V11" s="11"/>
      <c r="W11" s="11">
        <v>12.075394572425957</v>
      </c>
      <c r="X11" s="11">
        <v>4.3493107840337917</v>
      </c>
      <c r="Y11" s="11">
        <v>0.52213680662201167</v>
      </c>
      <c r="Z11" s="11">
        <f t="shared" si="4"/>
        <v>16.946842163081758</v>
      </c>
      <c r="AA11" s="11"/>
      <c r="AB11" s="11">
        <v>15.068123707676616</v>
      </c>
      <c r="AC11" s="11">
        <v>4.6032139457562504</v>
      </c>
      <c r="AD11" s="11">
        <v>0.70197314108942233</v>
      </c>
      <c r="AE11" s="11">
        <f t="shared" si="5"/>
        <v>20.373310794522286</v>
      </c>
      <c r="AG11" s="10" t="str">
        <f>name!E7</f>
        <v>Administrative and secretarial occupations</v>
      </c>
      <c r="AH11" s="11">
        <v>21.384512302716328</v>
      </c>
      <c r="AI11" s="11">
        <v>20.674195259069062</v>
      </c>
      <c r="AJ11" s="11">
        <v>1.4812966439719921</v>
      </c>
      <c r="AK11" s="11">
        <f t="shared" si="6"/>
        <v>43.540004205757384</v>
      </c>
      <c r="AL11" s="11"/>
      <c r="AM11" s="11">
        <v>19.4491808253762</v>
      </c>
      <c r="AN11" s="11">
        <v>18.989905440203938</v>
      </c>
      <c r="AO11" s="11">
        <v>1.0924718545526571</v>
      </c>
      <c r="AP11" s="11">
        <f t="shared" si="7"/>
        <v>39.531558120132793</v>
      </c>
      <c r="AQ11" s="11"/>
      <c r="AR11" s="11">
        <v>16.523055308762252</v>
      </c>
      <c r="AS11" s="11">
        <v>15.922420070405625</v>
      </c>
      <c r="AT11" s="11">
        <v>0.70848472232704851</v>
      </c>
      <c r="AU11" s="11">
        <f t="shared" si="8"/>
        <v>33.153960101494924</v>
      </c>
    </row>
    <row r="12" spans="1:47">
      <c r="A12" t="str">
        <f>name!E8</f>
        <v>Skilled trades occupations</v>
      </c>
      <c r="B12" s="11">
        <v>41.123298791113136</v>
      </c>
      <c r="C12" s="11">
        <v>5.0380135682616238</v>
      </c>
      <c r="D12" s="11">
        <v>15.137415435555569</v>
      </c>
      <c r="E12" s="11">
        <f t="shared" si="0"/>
        <v>61.298727794930329</v>
      </c>
      <c r="F12" s="11"/>
      <c r="G12" s="11">
        <v>31.592653387191238</v>
      </c>
      <c r="H12" s="11">
        <v>4.2057401110957136</v>
      </c>
      <c r="I12" s="11">
        <v>16.434453600766055</v>
      </c>
      <c r="J12" s="11">
        <f t="shared" si="1"/>
        <v>52.232847099053004</v>
      </c>
      <c r="K12" s="11"/>
      <c r="L12" s="11">
        <v>25.117956227388454</v>
      </c>
      <c r="M12" s="11">
        <v>4.950544630095453</v>
      </c>
      <c r="N12" s="11">
        <v>16.694422870269658</v>
      </c>
      <c r="O12" s="11">
        <f t="shared" si="2"/>
        <v>46.762923727753567</v>
      </c>
      <c r="Q12" s="10" t="str">
        <f>name!E8</f>
        <v>Skilled trades occupations</v>
      </c>
      <c r="R12" s="11">
        <v>39.231435721801816</v>
      </c>
      <c r="S12" s="11">
        <v>3.5398536462086629</v>
      </c>
      <c r="T12" s="11">
        <v>13.983219856196914</v>
      </c>
      <c r="U12" s="11">
        <f t="shared" si="3"/>
        <v>56.754509224207396</v>
      </c>
      <c r="V12" s="11"/>
      <c r="W12" s="11">
        <v>29.616581485046542</v>
      </c>
      <c r="X12" s="11">
        <v>2.8226388479442748</v>
      </c>
      <c r="Y12" s="11">
        <v>15.108282037037366</v>
      </c>
      <c r="Z12" s="11">
        <f t="shared" si="4"/>
        <v>47.547502370028184</v>
      </c>
      <c r="AA12" s="11"/>
      <c r="AB12" s="11">
        <v>23.044110825964236</v>
      </c>
      <c r="AC12" s="11">
        <v>3.470557321555702</v>
      </c>
      <c r="AD12" s="11">
        <v>15.164938308000746</v>
      </c>
      <c r="AE12" s="11">
        <f t="shared" si="5"/>
        <v>41.679606455520684</v>
      </c>
      <c r="AG12" s="10" t="str">
        <f>name!E8</f>
        <v>Skilled trades occupations</v>
      </c>
      <c r="AH12" s="11">
        <v>1.8918630693113119</v>
      </c>
      <c r="AI12" s="11">
        <v>1.4981599220529602</v>
      </c>
      <c r="AJ12" s="11">
        <v>1.1541955793586591</v>
      </c>
      <c r="AK12" s="11">
        <f t="shared" si="6"/>
        <v>4.544218570722931</v>
      </c>
      <c r="AL12" s="11"/>
      <c r="AM12" s="11">
        <v>1.9760719021446771</v>
      </c>
      <c r="AN12" s="11">
        <v>1.3831012631514377</v>
      </c>
      <c r="AO12" s="11">
        <v>1.3261715637286784</v>
      </c>
      <c r="AP12" s="11">
        <f t="shared" si="7"/>
        <v>4.6853447290247932</v>
      </c>
      <c r="AQ12" s="11"/>
      <c r="AR12" s="11">
        <v>2.0738454014242151</v>
      </c>
      <c r="AS12" s="11">
        <v>1.4799873085397512</v>
      </c>
      <c r="AT12" s="11">
        <v>1.5294845622689153</v>
      </c>
      <c r="AU12" s="11">
        <f t="shared" si="8"/>
        <v>5.0833172722328817</v>
      </c>
    </row>
    <row r="13" spans="1:47">
      <c r="A13" t="str">
        <f>name!E9</f>
        <v>Caring, leisure and other service occupations</v>
      </c>
      <c r="B13" s="11">
        <v>23.908597302848047</v>
      </c>
      <c r="C13" s="11">
        <v>22.382209060913784</v>
      </c>
      <c r="D13" s="11">
        <v>4.1873862649246911</v>
      </c>
      <c r="E13" s="11">
        <f t="shared" si="0"/>
        <v>50.478192628686521</v>
      </c>
      <c r="F13" s="11"/>
      <c r="G13" s="11">
        <v>23.71483590244987</v>
      </c>
      <c r="H13" s="11">
        <v>22.161845733001073</v>
      </c>
      <c r="I13" s="11">
        <v>3.4612747906834813</v>
      </c>
      <c r="J13" s="11">
        <f t="shared" si="1"/>
        <v>49.337956426134426</v>
      </c>
      <c r="K13" s="11"/>
      <c r="L13" s="11">
        <v>27.434162516742436</v>
      </c>
      <c r="M13" s="11">
        <v>22.070126185350997</v>
      </c>
      <c r="N13" s="11">
        <v>4.4154026286537169</v>
      </c>
      <c r="O13" s="11">
        <f t="shared" si="2"/>
        <v>53.919691330747149</v>
      </c>
      <c r="Q13" s="10" t="str">
        <f>name!E9</f>
        <v>Caring, leisure and other service occupations</v>
      </c>
      <c r="R13" s="11">
        <v>4.7136862455230313</v>
      </c>
      <c r="S13" s="11">
        <v>2.2799655854359964</v>
      </c>
      <c r="T13" s="11">
        <v>0.65534103667151022</v>
      </c>
      <c r="U13" s="11">
        <f t="shared" si="3"/>
        <v>7.6489928676305379</v>
      </c>
      <c r="V13" s="11"/>
      <c r="W13" s="11">
        <v>4.2361274042960373</v>
      </c>
      <c r="X13" s="11">
        <v>2.4685056389518447</v>
      </c>
      <c r="Y13" s="11">
        <v>0.64466879997531956</v>
      </c>
      <c r="Z13" s="11">
        <f t="shared" si="4"/>
        <v>7.349301843223202</v>
      </c>
      <c r="AA13" s="11"/>
      <c r="AB13" s="11">
        <v>4.6021939521415849</v>
      </c>
      <c r="AC13" s="11">
        <v>3.0923074961589325</v>
      </c>
      <c r="AD13" s="11">
        <v>0.97530843623102392</v>
      </c>
      <c r="AE13" s="11">
        <f t="shared" si="5"/>
        <v>8.6698098845315421</v>
      </c>
      <c r="AG13" s="10" t="str">
        <f>name!E9</f>
        <v>Caring, leisure and other service occupations</v>
      </c>
      <c r="AH13" s="11">
        <v>19.194911057325019</v>
      </c>
      <c r="AI13" s="11">
        <v>20.102243475477788</v>
      </c>
      <c r="AJ13" s="11">
        <v>3.5320452282531813</v>
      </c>
      <c r="AK13" s="11">
        <f t="shared" si="6"/>
        <v>42.829199761055989</v>
      </c>
      <c r="AL13" s="11"/>
      <c r="AM13" s="11">
        <v>19.478708498153832</v>
      </c>
      <c r="AN13" s="11">
        <v>19.693340094049233</v>
      </c>
      <c r="AO13" s="11">
        <v>2.8166059907081609</v>
      </c>
      <c r="AP13" s="11">
        <f t="shared" si="7"/>
        <v>41.988654582911231</v>
      </c>
      <c r="AQ13" s="11"/>
      <c r="AR13" s="11">
        <v>22.83196856460086</v>
      </c>
      <c r="AS13" s="11">
        <v>18.977818689192063</v>
      </c>
      <c r="AT13" s="11">
        <v>3.4400941924226935</v>
      </c>
      <c r="AU13" s="11">
        <f t="shared" si="8"/>
        <v>45.24988144621561</v>
      </c>
    </row>
    <row r="14" spans="1:47">
      <c r="A14" t="str">
        <f>name!E10</f>
        <v>Sales and customer service occupations</v>
      </c>
      <c r="B14" s="11">
        <v>15.417470265024585</v>
      </c>
      <c r="C14" s="11">
        <v>25.392019047392633</v>
      </c>
      <c r="D14" s="11">
        <v>2.5030015296730284</v>
      </c>
      <c r="E14" s="11">
        <f t="shared" si="0"/>
        <v>43.312490842090249</v>
      </c>
      <c r="F14" s="11"/>
      <c r="G14" s="11">
        <v>13.698547629359778</v>
      </c>
      <c r="H14" s="11">
        <v>24.073030364519525</v>
      </c>
      <c r="I14" s="11">
        <v>1.5682079469137957</v>
      </c>
      <c r="J14" s="11">
        <f t="shared" si="1"/>
        <v>39.339785940793099</v>
      </c>
      <c r="K14" s="11"/>
      <c r="L14" s="11">
        <v>13.657207584313619</v>
      </c>
      <c r="M14" s="11">
        <v>24.162821852635723</v>
      </c>
      <c r="N14" s="11">
        <v>1.261053367100244</v>
      </c>
      <c r="O14" s="11">
        <f t="shared" si="2"/>
        <v>39.081082804049586</v>
      </c>
      <c r="Q14" s="10" t="str">
        <f>name!E10</f>
        <v>Sales and customer service occupations</v>
      </c>
      <c r="R14" s="11">
        <v>8.6468170645927493</v>
      </c>
      <c r="S14" s="11">
        <v>7.4367926026275981</v>
      </c>
      <c r="T14" s="11">
        <v>1.6155244061194323</v>
      </c>
      <c r="U14" s="11">
        <f t="shared" si="3"/>
        <v>17.699134073339781</v>
      </c>
      <c r="V14" s="11"/>
      <c r="W14" s="11">
        <v>7.7027813014406803</v>
      </c>
      <c r="X14" s="11">
        <v>8.0756087266370962</v>
      </c>
      <c r="Y14" s="11">
        <v>0.94299054035647933</v>
      </c>
      <c r="Z14" s="11">
        <f t="shared" si="4"/>
        <v>16.721380568434256</v>
      </c>
      <c r="AA14" s="11"/>
      <c r="AB14" s="11">
        <v>8.1711002107847364</v>
      </c>
      <c r="AC14" s="11">
        <v>8.7747208439944462</v>
      </c>
      <c r="AD14" s="11">
        <v>0.83262390610970072</v>
      </c>
      <c r="AE14" s="11">
        <f t="shared" si="5"/>
        <v>17.77844496088888</v>
      </c>
      <c r="AG14" s="10" t="str">
        <f>name!E10</f>
        <v>Sales and customer service occupations</v>
      </c>
      <c r="AH14" s="11">
        <v>6.7706532004318438</v>
      </c>
      <c r="AI14" s="11">
        <v>17.955226444765032</v>
      </c>
      <c r="AJ14" s="11">
        <v>0.88747712355359576</v>
      </c>
      <c r="AK14" s="11">
        <f t="shared" si="6"/>
        <v>25.613356768750471</v>
      </c>
      <c r="AL14" s="11"/>
      <c r="AM14" s="11">
        <v>5.9957663279191067</v>
      </c>
      <c r="AN14" s="11">
        <v>15.997421637882429</v>
      </c>
      <c r="AO14" s="11">
        <v>0.62521740655731606</v>
      </c>
      <c r="AP14" s="11">
        <f t="shared" si="7"/>
        <v>22.618405372358851</v>
      </c>
      <c r="AQ14" s="11"/>
      <c r="AR14" s="11">
        <v>5.4861073735288786</v>
      </c>
      <c r="AS14" s="11">
        <v>15.388101008641272</v>
      </c>
      <c r="AT14" s="11">
        <v>0.4284294609905428</v>
      </c>
      <c r="AU14" s="11">
        <f t="shared" si="8"/>
        <v>21.302637843160692</v>
      </c>
    </row>
    <row r="15" spans="1:47">
      <c r="A15" t="str">
        <f>name!E11</f>
        <v>Process, plant and machine operatives</v>
      </c>
      <c r="B15" s="11">
        <v>36.785480741297263</v>
      </c>
      <c r="C15" s="11">
        <v>4.8615916492614248</v>
      </c>
      <c r="D15" s="11">
        <v>5.4936116692184092</v>
      </c>
      <c r="E15" s="11">
        <f t="shared" si="0"/>
        <v>47.140684059777101</v>
      </c>
      <c r="F15" s="11"/>
      <c r="G15" s="11">
        <v>27.940222216185962</v>
      </c>
      <c r="H15" s="11">
        <v>6.2826529822694797</v>
      </c>
      <c r="I15" s="11">
        <v>6.1354991075426133</v>
      </c>
      <c r="J15" s="11">
        <f t="shared" si="1"/>
        <v>40.358374305998055</v>
      </c>
      <c r="K15" s="11"/>
      <c r="L15" s="11">
        <v>25.388529038895168</v>
      </c>
      <c r="M15" s="11">
        <v>7.2839379760158742</v>
      </c>
      <c r="N15" s="11">
        <v>7.5272707176983271</v>
      </c>
      <c r="O15" s="11">
        <f t="shared" si="2"/>
        <v>40.199737732609371</v>
      </c>
      <c r="Q15" s="10" t="str">
        <f>name!E11</f>
        <v>Process, plant and machine operatives</v>
      </c>
      <c r="R15" s="11">
        <v>32.878118713582985</v>
      </c>
      <c r="S15" s="11">
        <v>3.5206065319646913</v>
      </c>
      <c r="T15" s="11">
        <v>5.1423459113900138</v>
      </c>
      <c r="U15" s="11">
        <f t="shared" si="3"/>
        <v>41.54107115693769</v>
      </c>
      <c r="V15" s="11"/>
      <c r="W15" s="11">
        <v>24.812623608438162</v>
      </c>
      <c r="X15" s="11">
        <v>4.8429288663918451</v>
      </c>
      <c r="Y15" s="11">
        <v>5.6531566065131429</v>
      </c>
      <c r="Z15" s="11">
        <f t="shared" si="4"/>
        <v>35.308709081343153</v>
      </c>
      <c r="AA15" s="11"/>
      <c r="AB15" s="11">
        <v>21.827047846719051</v>
      </c>
      <c r="AC15" s="11">
        <v>5.2376587740025444</v>
      </c>
      <c r="AD15" s="11">
        <v>6.9598595413781457</v>
      </c>
      <c r="AE15" s="11">
        <f t="shared" si="5"/>
        <v>34.024566162099738</v>
      </c>
      <c r="AG15" s="10" t="str">
        <f>name!E11</f>
        <v>Process, plant and machine operatives</v>
      </c>
      <c r="AH15" s="11">
        <v>3.9073620277142873</v>
      </c>
      <c r="AI15" s="11">
        <v>1.340985117296728</v>
      </c>
      <c r="AJ15" s="11">
        <v>0.35126575782839881</v>
      </c>
      <c r="AK15" s="11">
        <f t="shared" si="6"/>
        <v>5.5996129028394144</v>
      </c>
      <c r="AL15" s="11"/>
      <c r="AM15" s="11">
        <v>3.1275986077477937</v>
      </c>
      <c r="AN15" s="11">
        <v>1.4397241158776364</v>
      </c>
      <c r="AO15" s="11">
        <v>0.48234250102947179</v>
      </c>
      <c r="AP15" s="11">
        <f t="shared" si="7"/>
        <v>5.0496652246549028</v>
      </c>
      <c r="AQ15" s="11"/>
      <c r="AR15" s="11">
        <v>3.5614811921761085</v>
      </c>
      <c r="AS15" s="11">
        <v>2.0462792020133311</v>
      </c>
      <c r="AT15" s="11">
        <v>0.56741117632018101</v>
      </c>
      <c r="AU15" s="11">
        <f t="shared" si="8"/>
        <v>6.1751715705096206</v>
      </c>
    </row>
    <row r="16" spans="1:47">
      <c r="A16" t="str">
        <f>name!E12</f>
        <v>Elementary occupations</v>
      </c>
      <c r="B16" s="11">
        <v>25.568732646467662</v>
      </c>
      <c r="C16" s="11">
        <v>25.826809890534875</v>
      </c>
      <c r="D16" s="11">
        <v>5.5643957770523169</v>
      </c>
      <c r="E16" s="11">
        <f t="shared" si="0"/>
        <v>56.95993831405486</v>
      </c>
      <c r="F16" s="11"/>
      <c r="G16" s="11">
        <v>19.557269848610304</v>
      </c>
      <c r="H16" s="11">
        <v>22.027755116136472</v>
      </c>
      <c r="I16" s="11">
        <v>4.7018082373451255</v>
      </c>
      <c r="J16" s="11">
        <f t="shared" si="1"/>
        <v>46.286833202091906</v>
      </c>
      <c r="K16" s="11"/>
      <c r="L16" s="11">
        <v>21.077674900787791</v>
      </c>
      <c r="M16" s="11">
        <v>18.86555760400724</v>
      </c>
      <c r="N16" s="11">
        <v>6.0347195665437905</v>
      </c>
      <c r="O16" s="11">
        <f t="shared" si="2"/>
        <v>45.977952071338827</v>
      </c>
      <c r="Q16" s="10" t="str">
        <f>name!E12</f>
        <v>Elementary occupations</v>
      </c>
      <c r="R16" s="11">
        <v>20.431684589112116</v>
      </c>
      <c r="S16" s="11">
        <v>9.0141803229864426</v>
      </c>
      <c r="T16" s="11">
        <v>2.7715883576353875</v>
      </c>
      <c r="U16" s="11">
        <f t="shared" si="3"/>
        <v>32.217453269733944</v>
      </c>
      <c r="V16" s="11"/>
      <c r="W16" s="11">
        <v>15.382033982932754</v>
      </c>
      <c r="X16" s="11">
        <v>7.6914657581308115</v>
      </c>
      <c r="Y16" s="11">
        <v>2.3433552127862951</v>
      </c>
      <c r="Z16" s="11">
        <f t="shared" si="4"/>
        <v>25.41685495384986</v>
      </c>
      <c r="AA16" s="11"/>
      <c r="AB16" s="11">
        <v>16.428062321316762</v>
      </c>
      <c r="AC16" s="11">
        <v>6.6513131358095832</v>
      </c>
      <c r="AD16" s="11">
        <v>3.0466175411696916</v>
      </c>
      <c r="AE16" s="11">
        <f t="shared" si="5"/>
        <v>26.125992998296038</v>
      </c>
      <c r="AG16" s="10" t="str">
        <f>name!E12</f>
        <v>Elementary occupations</v>
      </c>
      <c r="AH16" s="11">
        <v>5.1370480573555586</v>
      </c>
      <c r="AI16" s="11">
        <v>16.812629567548417</v>
      </c>
      <c r="AJ16" s="11">
        <v>2.7928074194169286</v>
      </c>
      <c r="AK16" s="11">
        <f t="shared" si="6"/>
        <v>24.742485044320905</v>
      </c>
      <c r="AL16" s="11"/>
      <c r="AM16" s="11">
        <v>4.1752358656775428</v>
      </c>
      <c r="AN16" s="11">
        <v>14.33628935800566</v>
      </c>
      <c r="AO16" s="11">
        <v>2.3584530245588304</v>
      </c>
      <c r="AP16" s="11">
        <f t="shared" si="7"/>
        <v>20.869978248242031</v>
      </c>
      <c r="AQ16" s="11"/>
      <c r="AR16" s="11">
        <v>4.6496125794710368</v>
      </c>
      <c r="AS16" s="11">
        <v>12.214244468197665</v>
      </c>
      <c r="AT16" s="11">
        <v>2.9881020253740971</v>
      </c>
      <c r="AU16" s="11">
        <f t="shared" si="8"/>
        <v>19.851959073042799</v>
      </c>
    </row>
    <row r="17" spans="1:47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>
      <c r="A18" s="22" t="str">
        <f>name!E3</f>
        <v>All occupations</v>
      </c>
      <c r="B18" s="27">
        <f>SUM(B8:B16)</f>
        <v>305.51550597634088</v>
      </c>
      <c r="C18" s="27">
        <f t="shared" ref="C18:D18" si="9">SUM(C8:C16)</f>
        <v>141.35880939661899</v>
      </c>
      <c r="D18" s="27">
        <f t="shared" si="9"/>
        <v>58.687684627040163</v>
      </c>
      <c r="E18" s="27">
        <f t="shared" si="0"/>
        <v>505.56200000000001</v>
      </c>
      <c r="F18" s="27"/>
      <c r="G18" s="27">
        <f>SUM(G8:G16)</f>
        <v>292.92291710684299</v>
      </c>
      <c r="H18" s="27">
        <f t="shared" ref="H18:I18" si="10">SUM(H8:H16)</f>
        <v>144.10269794991848</v>
      </c>
      <c r="I18" s="27">
        <f t="shared" si="10"/>
        <v>59.168384943238529</v>
      </c>
      <c r="J18" s="27">
        <f t="shared" ref="J18" si="11">SUM(G18:I18)</f>
        <v>496.19400000000002</v>
      </c>
      <c r="K18" s="27"/>
      <c r="L18" s="27">
        <f>SUM(L8:L16)</f>
        <v>309.62865466793806</v>
      </c>
      <c r="M18" s="27">
        <f t="shared" ref="M18:N18" si="12">SUM(M8:M16)</f>
        <v>149.54413524012077</v>
      </c>
      <c r="N18" s="27">
        <f t="shared" si="12"/>
        <v>62.771210091940837</v>
      </c>
      <c r="O18" s="27">
        <f>SUM(L18:N18)</f>
        <v>521.94399999999962</v>
      </c>
      <c r="Q18" s="208" t="str">
        <f>name!E3</f>
        <v>All occupations</v>
      </c>
      <c r="R18" s="27">
        <f>SUM(R8:R16)</f>
        <v>200.13247933026742</v>
      </c>
      <c r="S18" s="27">
        <f t="shared" ref="S18:T18" si="13">SUM(S8:S16)</f>
        <v>37.771241072451758</v>
      </c>
      <c r="T18" s="27">
        <f t="shared" si="13"/>
        <v>40.569282072456389</v>
      </c>
      <c r="U18" s="27">
        <f t="shared" ref="U18" si="14">SUM(R18:T18)</f>
        <v>278.47300247517558</v>
      </c>
      <c r="V18" s="27"/>
      <c r="W18" s="27">
        <f>SUM(W8:W16)</f>
        <v>181.38082677896563</v>
      </c>
      <c r="X18" s="27">
        <f t="shared" ref="X18:Y18" si="15">SUM(X8:X16)</f>
        <v>41.657454411789359</v>
      </c>
      <c r="Y18" s="27">
        <f t="shared" si="15"/>
        <v>42.061123213386203</v>
      </c>
      <c r="Z18" s="27">
        <f t="shared" ref="Z18" si="16">SUM(W18:Y18)</f>
        <v>265.09940440414118</v>
      </c>
      <c r="AA18" s="27"/>
      <c r="AB18" s="27">
        <f>SUM(AB8:AB16)</f>
        <v>183.7466699436774</v>
      </c>
      <c r="AC18" s="27">
        <f t="shared" ref="AC18:AD18" si="17">SUM(AC8:AC16)</f>
        <v>45.420057284896238</v>
      </c>
      <c r="AD18" s="27">
        <f t="shared" si="17"/>
        <v>44.277740777559828</v>
      </c>
      <c r="AE18" s="27">
        <f t="shared" ref="AE18" si="18">SUM(AB18:AD18)</f>
        <v>273.44446800613349</v>
      </c>
      <c r="AG18" s="208" t="str">
        <f>name!E3</f>
        <v>All occupations</v>
      </c>
      <c r="AH18" s="27">
        <f>SUM(AH8:AH16)</f>
        <v>105.38302664607342</v>
      </c>
      <c r="AI18" s="27">
        <f t="shared" ref="AI18:AJ18" si="19">SUM(AI8:AI16)</f>
        <v>103.58756832416722</v>
      </c>
      <c r="AJ18" s="27">
        <f t="shared" si="19"/>
        <v>18.118402554583785</v>
      </c>
      <c r="AK18" s="27">
        <f t="shared" si="6"/>
        <v>227.08899752482444</v>
      </c>
      <c r="AL18" s="27"/>
      <c r="AM18" s="27">
        <f>SUM(AM8:AM16)</f>
        <v>111.5420903278773</v>
      </c>
      <c r="AN18" s="27">
        <f t="shared" ref="AN18:AO18" si="20">SUM(AN8:AN16)</f>
        <v>102.44524353812913</v>
      </c>
      <c r="AO18" s="27">
        <f t="shared" si="20"/>
        <v>17.107261729852304</v>
      </c>
      <c r="AP18" s="27">
        <f t="shared" si="7"/>
        <v>231.09459559585875</v>
      </c>
      <c r="AQ18" s="27"/>
      <c r="AR18" s="27">
        <f>SUM(AR8:AR16)</f>
        <v>125.88198472426066</v>
      </c>
      <c r="AS18" s="27">
        <f t="shared" ref="AS18:AT18" si="21">SUM(AS8:AS16)</f>
        <v>104.12407795522455</v>
      </c>
      <c r="AT18" s="27">
        <f t="shared" si="21"/>
        <v>18.493469314381002</v>
      </c>
      <c r="AU18" s="27">
        <f t="shared" si="8"/>
        <v>248.49953199386621</v>
      </c>
    </row>
    <row r="19" spans="1:47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121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121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121</v>
      </c>
    </row>
    <row r="22" spans="1:47">
      <c r="A22" s="29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Q22" s="29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G22" s="29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</row>
    <row r="23" spans="1:47">
      <c r="B23" s="350">
        <f>B5</f>
        <v>2015</v>
      </c>
      <c r="C23" s="350"/>
      <c r="D23" s="350"/>
      <c r="E23" s="350"/>
      <c r="F23" s="1"/>
      <c r="G23" s="350">
        <f>G5</f>
        <v>2020</v>
      </c>
      <c r="H23" s="350"/>
      <c r="I23" s="350"/>
      <c r="J23" s="350"/>
      <c r="K23" s="1"/>
      <c r="L23" s="350">
        <f>L5</f>
        <v>2035</v>
      </c>
      <c r="M23" s="350"/>
      <c r="N23" s="350"/>
      <c r="O23" s="350"/>
      <c r="R23" s="350">
        <f>R5</f>
        <v>2015</v>
      </c>
      <c r="S23" s="350"/>
      <c r="T23" s="350"/>
      <c r="U23" s="350"/>
      <c r="V23" s="1"/>
      <c r="W23" s="350">
        <f>W5</f>
        <v>2020</v>
      </c>
      <c r="X23" s="350"/>
      <c r="Y23" s="350"/>
      <c r="Z23" s="350"/>
      <c r="AA23" s="1"/>
      <c r="AB23" s="350">
        <f>AB5</f>
        <v>2035</v>
      </c>
      <c r="AC23" s="350"/>
      <c r="AD23" s="350"/>
      <c r="AE23" s="350"/>
      <c r="AH23" s="350">
        <f>AH5</f>
        <v>2015</v>
      </c>
      <c r="AI23" s="350"/>
      <c r="AJ23" s="350"/>
      <c r="AK23" s="350"/>
      <c r="AL23" s="1"/>
      <c r="AM23" s="350">
        <f>AM5</f>
        <v>2020</v>
      </c>
      <c r="AN23" s="350"/>
      <c r="AO23" s="350"/>
      <c r="AP23" s="350"/>
      <c r="AQ23" s="1"/>
      <c r="AR23" s="350">
        <f>AR5</f>
        <v>2035</v>
      </c>
      <c r="AS23" s="350"/>
      <c r="AT23" s="350"/>
      <c r="AU23" s="350"/>
    </row>
    <row r="24" spans="1:47">
      <c r="A24" s="32" t="s">
        <v>122</v>
      </c>
      <c r="B24" s="309" t="s">
        <v>136</v>
      </c>
      <c r="C24" s="309" t="s">
        <v>137</v>
      </c>
      <c r="D24" s="309" t="s">
        <v>138</v>
      </c>
      <c r="E24" s="309" t="s">
        <v>117</v>
      </c>
      <c r="F24" s="310"/>
      <c r="G24" s="309" t="s">
        <v>136</v>
      </c>
      <c r="H24" s="309" t="s">
        <v>137</v>
      </c>
      <c r="I24" s="309" t="s">
        <v>138</v>
      </c>
      <c r="J24" s="309" t="s">
        <v>117</v>
      </c>
      <c r="K24" s="310"/>
      <c r="L24" s="309" t="s">
        <v>136</v>
      </c>
      <c r="M24" s="309" t="s">
        <v>137</v>
      </c>
      <c r="N24" s="309" t="s">
        <v>138</v>
      </c>
      <c r="O24" s="309" t="s">
        <v>117</v>
      </c>
      <c r="Q24" s="32" t="s">
        <v>122</v>
      </c>
      <c r="R24" s="309" t="s">
        <v>136</v>
      </c>
      <c r="S24" s="309" t="s">
        <v>137</v>
      </c>
      <c r="T24" s="309" t="s">
        <v>138</v>
      </c>
      <c r="U24" s="309" t="s">
        <v>117</v>
      </c>
      <c r="V24" s="310"/>
      <c r="W24" s="309" t="s">
        <v>136</v>
      </c>
      <c r="X24" s="309" t="s">
        <v>137</v>
      </c>
      <c r="Y24" s="309" t="s">
        <v>138</v>
      </c>
      <c r="Z24" s="309" t="s">
        <v>117</v>
      </c>
      <c r="AA24" s="310"/>
      <c r="AB24" s="309" t="s">
        <v>136</v>
      </c>
      <c r="AC24" s="309" t="s">
        <v>137</v>
      </c>
      <c r="AD24" s="309" t="s">
        <v>138</v>
      </c>
      <c r="AE24" s="309" t="s">
        <v>117</v>
      </c>
      <c r="AG24" s="32" t="s">
        <v>122</v>
      </c>
      <c r="AH24" s="309" t="s">
        <v>136</v>
      </c>
      <c r="AI24" s="309" t="s">
        <v>137</v>
      </c>
      <c r="AJ24" s="309" t="s">
        <v>138</v>
      </c>
      <c r="AK24" s="309" t="s">
        <v>117</v>
      </c>
      <c r="AL24" s="310"/>
      <c r="AM24" s="309" t="s">
        <v>136</v>
      </c>
      <c r="AN24" s="309" t="s">
        <v>137</v>
      </c>
      <c r="AO24" s="309" t="s">
        <v>138</v>
      </c>
      <c r="AP24" s="309" t="s">
        <v>117</v>
      </c>
      <c r="AQ24" s="310"/>
      <c r="AR24" s="309" t="s">
        <v>136</v>
      </c>
      <c r="AS24" s="309" t="s">
        <v>137</v>
      </c>
      <c r="AT24" s="309" t="s">
        <v>138</v>
      </c>
      <c r="AU24" s="309" t="s">
        <v>117</v>
      </c>
    </row>
    <row r="25" spans="1:47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>
      <c r="A26" t="str">
        <f>$A$8</f>
        <v>Managers, directors and senior officials</v>
      </c>
      <c r="B26" s="322">
        <f>B8/B$18*100</f>
        <v>10.190470571089188</v>
      </c>
      <c r="C26" s="322">
        <f t="shared" ref="C26:O26" si="22">C8/C$18*100</f>
        <v>3.034935107226342</v>
      </c>
      <c r="D26" s="322">
        <f t="shared" si="22"/>
        <v>11.874901523412571</v>
      </c>
      <c r="E26" s="322">
        <f t="shared" si="22"/>
        <v>8.3852664195490085</v>
      </c>
      <c r="F26" s="322"/>
      <c r="G26" s="322">
        <f t="shared" si="22"/>
        <v>11.362295574982504</v>
      </c>
      <c r="H26" s="322">
        <f t="shared" si="22"/>
        <v>4.6236961675447619</v>
      </c>
      <c r="I26" s="322">
        <f t="shared" si="22"/>
        <v>13.275212647652298</v>
      </c>
      <c r="J26" s="322">
        <f t="shared" si="22"/>
        <v>9.6334029618205523</v>
      </c>
      <c r="K26" s="322"/>
      <c r="L26" s="322">
        <f t="shared" si="22"/>
        <v>10.656477256337375</v>
      </c>
      <c r="M26" s="322">
        <f t="shared" si="22"/>
        <v>5.1960220714283141</v>
      </c>
      <c r="N26" s="322">
        <f t="shared" si="22"/>
        <v>13.47803529157218</v>
      </c>
      <c r="O26" s="322">
        <f t="shared" si="22"/>
        <v>9.4313143338239804</v>
      </c>
      <c r="Q26" t="str">
        <f>$A$8</f>
        <v>Managers, directors and senior officials</v>
      </c>
      <c r="R26" s="322">
        <f>R8/R$18*100</f>
        <v>11.102419695909042</v>
      </c>
      <c r="S26" s="322">
        <f t="shared" ref="S26:U26" si="23">S8/S$18*100</f>
        <v>4.979168610572632</v>
      </c>
      <c r="T26" s="322">
        <f t="shared" si="23"/>
        <v>12.161869730401403</v>
      </c>
      <c r="U26" s="322">
        <f t="shared" si="23"/>
        <v>10.42622608314694</v>
      </c>
      <c r="V26" s="322"/>
      <c r="W26" s="322">
        <f t="shared" ref="W26:Z26" si="24">W8/W$18*100</f>
        <v>12.616631358733024</v>
      </c>
      <c r="X26" s="322">
        <f t="shared" si="24"/>
        <v>7.2350800186364319</v>
      </c>
      <c r="Y26" s="322">
        <f t="shared" si="24"/>
        <v>11.958988493341556</v>
      </c>
      <c r="Z26" s="322">
        <f t="shared" si="24"/>
        <v>11.666637043308306</v>
      </c>
      <c r="AA26" s="322"/>
      <c r="AB26" s="322">
        <f t="shared" ref="AB26:AE26" si="25">AB8/AB$18*100</f>
        <v>11.882314156629402</v>
      </c>
      <c r="AC26" s="322">
        <f t="shared" si="25"/>
        <v>7.2463274589939841</v>
      </c>
      <c r="AD26" s="322">
        <f t="shared" si="25"/>
        <v>12.300391743422582</v>
      </c>
      <c r="AE26" s="322">
        <f t="shared" si="25"/>
        <v>11.179958567700925</v>
      </c>
      <c r="AG26" t="str">
        <f>$A$8</f>
        <v>Managers, directors and senior officials</v>
      </c>
      <c r="AH26" s="322">
        <f>AH8/AH$18*100</f>
        <v>8.4585916795650036</v>
      </c>
      <c r="AI26" s="322">
        <f t="shared" ref="AI26:AK26" si="26">AI8/AI$18*100</f>
        <v>2.3260072547429353</v>
      </c>
      <c r="AJ26" s="322">
        <f t="shared" si="26"/>
        <v>11.232345199802682</v>
      </c>
      <c r="AK26" s="322">
        <f t="shared" si="26"/>
        <v>5.8824936227704665</v>
      </c>
      <c r="AL26" s="322"/>
      <c r="AM26" s="322">
        <f t="shared" ref="AM26:AP26" si="27">AM8/AM$18*100</f>
        <v>9.3225950382044953</v>
      </c>
      <c r="AN26" s="322">
        <f t="shared" si="27"/>
        <v>3.5618254552354478</v>
      </c>
      <c r="AO26" s="322">
        <f t="shared" si="27"/>
        <v>16.511374413640418</v>
      </c>
      <c r="AP26" s="322">
        <f t="shared" si="27"/>
        <v>7.3009851801462817</v>
      </c>
      <c r="AQ26" s="322"/>
      <c r="AR26" s="322">
        <f t="shared" ref="AR26:AU26" si="28">AR8/AR$18*100</f>
        <v>8.8671549095684714</v>
      </c>
      <c r="AS26" s="322">
        <f t="shared" si="28"/>
        <v>4.3016565223301484</v>
      </c>
      <c r="AT26" s="322">
        <f t="shared" si="28"/>
        <v>16.29759255618912</v>
      </c>
      <c r="AU26" s="322">
        <f t="shared" si="28"/>
        <v>7.5071373004592639</v>
      </c>
    </row>
    <row r="27" spans="1:47">
      <c r="A27" t="str">
        <f>$A$9</f>
        <v>Professional occupations</v>
      </c>
      <c r="B27" s="322">
        <f t="shared" ref="B27:B34" si="29">B9/B$18*100</f>
        <v>19.896919969704843</v>
      </c>
      <c r="C27" s="322">
        <f t="shared" ref="C27:O27" si="30">C9/C$18*100</f>
        <v>12.466434727197512</v>
      </c>
      <c r="D27" s="322">
        <f t="shared" si="30"/>
        <v>15.852266587374356</v>
      </c>
      <c r="E27" s="322">
        <f t="shared" si="30"/>
        <v>17.349782547889347</v>
      </c>
      <c r="F27" s="322"/>
      <c r="G27" s="322">
        <f t="shared" si="30"/>
        <v>24.231685315552603</v>
      </c>
      <c r="H27" s="322">
        <f t="shared" si="30"/>
        <v>15.236381233230247</v>
      </c>
      <c r="I27" s="322">
        <f t="shared" si="30"/>
        <v>17.927880459095828</v>
      </c>
      <c r="J27" s="322">
        <f t="shared" si="30"/>
        <v>20.867610902124675</v>
      </c>
      <c r="K27" s="322"/>
      <c r="L27" s="322">
        <f t="shared" si="30"/>
        <v>27.526500830794269</v>
      </c>
      <c r="M27" s="322">
        <f t="shared" si="30"/>
        <v>17.804025696994799</v>
      </c>
      <c r="N27" s="322">
        <f t="shared" si="30"/>
        <v>15.746720539601167</v>
      </c>
      <c r="O27" s="322">
        <f t="shared" si="30"/>
        <v>23.324191388070521</v>
      </c>
      <c r="Q27" t="str">
        <f>$A$9</f>
        <v>Professional occupations</v>
      </c>
      <c r="R27" s="322">
        <f t="shared" ref="R27:U27" si="31">R9/R$18*100</f>
        <v>18.019381739521371</v>
      </c>
      <c r="S27" s="322">
        <f t="shared" si="31"/>
        <v>8.3397782773894011</v>
      </c>
      <c r="T27" s="322">
        <f t="shared" si="31"/>
        <v>15.582696195500786</v>
      </c>
      <c r="U27" s="322">
        <f t="shared" si="31"/>
        <v>16.351481386945618</v>
      </c>
      <c r="V27" s="322"/>
      <c r="W27" s="322">
        <f t="shared" ref="W27:Z27" si="32">W9/W$18*100</f>
        <v>22.1229929626626</v>
      </c>
      <c r="X27" s="322">
        <f t="shared" si="32"/>
        <v>10.716428510723427</v>
      </c>
      <c r="Y27" s="322">
        <f t="shared" si="32"/>
        <v>17.70872148677979</v>
      </c>
      <c r="Z27" s="322">
        <f t="shared" si="32"/>
        <v>19.630201035869753</v>
      </c>
      <c r="AA27" s="322"/>
      <c r="AB27" s="322">
        <f t="shared" ref="AB27:AE27" si="33">AB9/AB$18*100</f>
        <v>26.708019925655506</v>
      </c>
      <c r="AC27" s="322">
        <f t="shared" si="33"/>
        <v>13.550981371376503</v>
      </c>
      <c r="AD27" s="322">
        <f t="shared" si="33"/>
        <v>14.76110409869451</v>
      </c>
      <c r="AE27" s="322">
        <f t="shared" si="33"/>
        <v>22.588075956311148</v>
      </c>
      <c r="AG27" t="str">
        <f>$A$9</f>
        <v>Professional occupations</v>
      </c>
      <c r="AH27" s="322">
        <f t="shared" ref="AH27:AK27" si="34">AH9/AH$18*100</f>
        <v>23.462545222677981</v>
      </c>
      <c r="AI27" s="322">
        <f>AI9/AI$18*100</f>
        <v>13.971141692623259</v>
      </c>
      <c r="AJ27" s="322">
        <f t="shared" si="34"/>
        <v>16.455867110839648</v>
      </c>
      <c r="AK27" s="322">
        <f t="shared" si="34"/>
        <v>18.573971851169276</v>
      </c>
      <c r="AL27" s="322"/>
      <c r="AM27" s="322">
        <f t="shared" ref="AM27:AP27" si="35">AM9/AM$18*100</f>
        <v>27.660672178407548</v>
      </c>
      <c r="AN27" s="322">
        <f t="shared" si="35"/>
        <v>17.074336007686821</v>
      </c>
      <c r="AO27" s="322">
        <f t="shared" si="35"/>
        <v>18.46672020349623</v>
      </c>
      <c r="AP27" s="322">
        <f t="shared" si="35"/>
        <v>22.287101555734171</v>
      </c>
      <c r="AQ27" s="322"/>
      <c r="AR27" s="322">
        <f t="shared" ref="AR27:AU27" si="36">AR9/AR$18*100</f>
        <v>28.721216191067345</v>
      </c>
      <c r="AS27" s="322">
        <f t="shared" si="36"/>
        <v>19.659249970748789</v>
      </c>
      <c r="AT27" s="322">
        <f t="shared" si="36"/>
        <v>18.106519479145156</v>
      </c>
      <c r="AU27" s="322">
        <f t="shared" si="36"/>
        <v>24.134199724961523</v>
      </c>
    </row>
    <row r="28" spans="1:47">
      <c r="A28" t="str">
        <f>$A$10</f>
        <v>Associate professional occupations</v>
      </c>
      <c r="B28" s="322">
        <f t="shared" si="29"/>
        <v>12.24365532012737</v>
      </c>
      <c r="C28" s="322">
        <f t="shared" ref="C28:O28" si="37">C10/C$18*100</f>
        <v>8.0047584430623999</v>
      </c>
      <c r="D28" s="322">
        <f t="shared" si="37"/>
        <v>12.618812071774302</v>
      </c>
      <c r="E28" s="322">
        <f t="shared" si="37"/>
        <v>11.101978662129754</v>
      </c>
      <c r="F28" s="322"/>
      <c r="G28" s="322">
        <f t="shared" si="37"/>
        <v>13.871186996070916</v>
      </c>
      <c r="H28" s="322">
        <f t="shared" si="37"/>
        <v>9.2944478207163588</v>
      </c>
      <c r="I28" s="322">
        <f t="shared" si="37"/>
        <v>11.476004223757116</v>
      </c>
      <c r="J28" s="322">
        <f t="shared" si="37"/>
        <v>12.25641624256855</v>
      </c>
      <c r="K28" s="322"/>
      <c r="L28" s="322">
        <f t="shared" si="37"/>
        <v>15.223559999827566</v>
      </c>
      <c r="M28" s="322">
        <f t="shared" si="37"/>
        <v>11.561998341150478</v>
      </c>
      <c r="N28" s="322">
        <f t="shared" si="37"/>
        <v>11.284074635874315</v>
      </c>
      <c r="O28" s="322">
        <f t="shared" si="37"/>
        <v>13.7006929196234</v>
      </c>
      <c r="Q28" t="str">
        <f>$A$10</f>
        <v>Associate professional occupations</v>
      </c>
      <c r="R28" s="322">
        <f t="shared" ref="R28:U28" si="38">R10/R$18*100</f>
        <v>11.966597754463304</v>
      </c>
      <c r="S28" s="322">
        <f t="shared" si="38"/>
        <v>7.9243437811165389</v>
      </c>
      <c r="T28" s="322">
        <f t="shared" si="38"/>
        <v>11.099618644294381</v>
      </c>
      <c r="U28" s="322">
        <f t="shared" si="38"/>
        <v>11.292012901694772</v>
      </c>
      <c r="V28" s="322"/>
      <c r="W28" s="322">
        <f t="shared" ref="W28:Z28" si="39">W10/W$18*100</f>
        <v>13.531896974006868</v>
      </c>
      <c r="X28" s="322">
        <f t="shared" si="39"/>
        <v>9.431335551653957</v>
      </c>
      <c r="Y28" s="322">
        <f t="shared" si="39"/>
        <v>10.384794382705767</v>
      </c>
      <c r="Z28" s="322">
        <f t="shared" si="39"/>
        <v>12.388214206956658</v>
      </c>
      <c r="AA28" s="322"/>
      <c r="AB28" s="322">
        <f t="shared" ref="AB28:AE28" si="40">AB10/AB$18*100</f>
        <v>12.896874424989454</v>
      </c>
      <c r="AC28" s="322">
        <f t="shared" si="40"/>
        <v>9.1240223612086773</v>
      </c>
      <c r="AD28" s="322">
        <f t="shared" si="40"/>
        <v>10.421039653443327</v>
      </c>
      <c r="AE28" s="322">
        <f t="shared" si="40"/>
        <v>11.86928908330813</v>
      </c>
      <c r="AG28" t="str">
        <f>$A$10</f>
        <v>Associate professional occupations</v>
      </c>
      <c r="AH28" s="322">
        <f t="shared" ref="AH28:AK28" si="41">AH10/AH$18*100</f>
        <v>12.769814221596192</v>
      </c>
      <c r="AI28" s="322">
        <f t="shared" si="41"/>
        <v>8.0340801235618553</v>
      </c>
      <c r="AJ28" s="322">
        <f t="shared" si="41"/>
        <v>16.020468840155459</v>
      </c>
      <c r="AK28" s="322">
        <f t="shared" si="41"/>
        <v>10.868944891927068</v>
      </c>
      <c r="AL28" s="322"/>
      <c r="AM28" s="322">
        <f t="shared" ref="AM28:AP28" si="42">AM10/AM$18*100</f>
        <v>14.422913295434062</v>
      </c>
      <c r="AN28" s="322">
        <f t="shared" si="42"/>
        <v>9.2387849688930412</v>
      </c>
      <c r="AO28" s="322">
        <f t="shared" si="42"/>
        <v>14.158929890114869</v>
      </c>
      <c r="AP28" s="322">
        <f t="shared" si="42"/>
        <v>12.105224641696717</v>
      </c>
      <c r="AQ28" s="322"/>
      <c r="AR28" s="322">
        <f t="shared" ref="AR28:AU28" si="43">AR10/AR$18*100</f>
        <v>18.619762620233974</v>
      </c>
      <c r="AS28" s="322">
        <f t="shared" si="43"/>
        <v>12.625470026496638</v>
      </c>
      <c r="AT28" s="322">
        <f t="shared" si="43"/>
        <v>13.350384563148445</v>
      </c>
      <c r="AU28" s="322">
        <f t="shared" si="43"/>
        <v>15.715937148485693</v>
      </c>
    </row>
    <row r="29" spans="1:47">
      <c r="A29" t="str">
        <f>$A$11</f>
        <v>Administrative and secretarial occupations</v>
      </c>
      <c r="B29" s="322">
        <f t="shared" si="29"/>
        <v>10.927110614511509</v>
      </c>
      <c r="C29" s="322">
        <f t="shared" ref="C29:O29" si="44">C11/C$18*100</f>
        <v>17.423875609231899</v>
      </c>
      <c r="D29" s="322">
        <f t="shared" si="44"/>
        <v>3.618735949259074</v>
      </c>
      <c r="E29" s="322">
        <f t="shared" si="44"/>
        <v>11.895267590496099</v>
      </c>
      <c r="F29" s="322"/>
      <c r="G29" s="322">
        <f t="shared" si="44"/>
        <v>10.762072052663479</v>
      </c>
      <c r="H29" s="322">
        <f t="shared" si="44"/>
        <v>16.196238208079247</v>
      </c>
      <c r="I29" s="322">
        <f t="shared" si="44"/>
        <v>2.7288367981035759</v>
      </c>
      <c r="J29" s="322">
        <f t="shared" si="44"/>
        <v>11.382322293944416</v>
      </c>
      <c r="K29" s="322"/>
      <c r="L29" s="322">
        <f t="shared" si="44"/>
        <v>10.20292487151065</v>
      </c>
      <c r="M29" s="322">
        <f t="shared" si="44"/>
        <v>13.725469061828575</v>
      </c>
      <c r="N29" s="322">
        <f t="shared" si="44"/>
        <v>2.2469821138553447</v>
      </c>
      <c r="O29" s="322">
        <f t="shared" si="44"/>
        <v>10.255366647766282</v>
      </c>
      <c r="Q29" t="str">
        <f>$A$11</f>
        <v>Administrative and secretarial occupations</v>
      </c>
      <c r="R29" s="322">
        <f t="shared" ref="R29:U29" si="45">R11/R$18*100</f>
        <v>5.9957809047080408</v>
      </c>
      <c r="S29" s="322">
        <f t="shared" si="45"/>
        <v>10.473544793777847</v>
      </c>
      <c r="T29" s="322">
        <f t="shared" si="45"/>
        <v>1.5836013471154871</v>
      </c>
      <c r="U29" s="322">
        <f t="shared" si="45"/>
        <v>5.960343869092342</v>
      </c>
      <c r="V29" s="322"/>
      <c r="W29" s="322">
        <f t="shared" ref="W29:Z29" si="46">W11/W$18*100</f>
        <v>6.657481271237824</v>
      </c>
      <c r="X29" s="322">
        <f t="shared" si="46"/>
        <v>10.440654248913745</v>
      </c>
      <c r="Y29" s="322">
        <f t="shared" si="46"/>
        <v>1.2413762798798453</v>
      </c>
      <c r="Z29" s="322">
        <f t="shared" si="46"/>
        <v>6.3926368303892822</v>
      </c>
      <c r="AA29" s="322"/>
      <c r="AB29" s="322">
        <f t="shared" ref="AB29:AE29" si="47">AB11/AB$18*100</f>
        <v>8.2004880481890332</v>
      </c>
      <c r="AC29" s="322">
        <f t="shared" si="47"/>
        <v>10.134760326000251</v>
      </c>
      <c r="AD29" s="322">
        <f t="shared" si="47"/>
        <v>1.5853860851120609</v>
      </c>
      <c r="AE29" s="322">
        <f t="shared" si="47"/>
        <v>7.4506209407261812</v>
      </c>
      <c r="AG29" t="str">
        <f>$A$11</f>
        <v>Administrative and secretarial occupations</v>
      </c>
      <c r="AH29" s="322">
        <f t="shared" ref="AH29:AK29" si="48">AH11/AH$18*100</f>
        <v>20.292178905181519</v>
      </c>
      <c r="AI29" s="322">
        <f t="shared" si="48"/>
        <v>19.958181848975524</v>
      </c>
      <c r="AJ29" s="322">
        <f t="shared" si="48"/>
        <v>8.175647050060924</v>
      </c>
      <c r="AK29" s="322">
        <f t="shared" si="48"/>
        <v>19.173101594672271</v>
      </c>
      <c r="AL29" s="322"/>
      <c r="AM29" s="322">
        <f t="shared" ref="AM29:AP29" si="49">AM11/AM$18*100</f>
        <v>17.436629319215239</v>
      </c>
      <c r="AN29" s="322">
        <f t="shared" si="49"/>
        <v>18.536639461583277</v>
      </c>
      <c r="AO29" s="322">
        <f t="shared" si="49"/>
        <v>6.3860123952291277</v>
      </c>
      <c r="AP29" s="322">
        <f t="shared" si="49"/>
        <v>17.106223543741411</v>
      </c>
      <c r="AQ29" s="322"/>
      <c r="AR29" s="322">
        <f t="shared" ref="AR29:AU29" si="50">AR11/AR$18*100</f>
        <v>13.125829994621812</v>
      </c>
      <c r="AS29" s="322">
        <f t="shared" si="50"/>
        <v>15.29177533485827</v>
      </c>
      <c r="AT29" s="322">
        <f t="shared" si="50"/>
        <v>3.8309995289856853</v>
      </c>
      <c r="AU29" s="322">
        <f t="shared" si="50"/>
        <v>13.341658970332897</v>
      </c>
    </row>
    <row r="30" spans="1:47">
      <c r="A30" t="str">
        <f>$A$12</f>
        <v>Skilled trades occupations</v>
      </c>
      <c r="B30" s="322">
        <f t="shared" si="29"/>
        <v>13.460298409304869</v>
      </c>
      <c r="C30" s="322">
        <f t="shared" ref="C30:O30" si="51">C12/C$18*100</f>
        <v>3.5639898141234077</v>
      </c>
      <c r="D30" s="322">
        <f t="shared" si="51"/>
        <v>25.793171994693164</v>
      </c>
      <c r="E30" s="322">
        <f t="shared" si="51"/>
        <v>12.124868521552317</v>
      </c>
      <c r="F30" s="322"/>
      <c r="G30" s="322">
        <f t="shared" si="51"/>
        <v>10.785312975586642</v>
      </c>
      <c r="H30" s="322">
        <f t="shared" si="51"/>
        <v>2.9185713875790018</v>
      </c>
      <c r="I30" s="322">
        <f t="shared" si="51"/>
        <v>27.775734653788458</v>
      </c>
      <c r="J30" s="322">
        <f t="shared" si="51"/>
        <v>10.526698649933897</v>
      </c>
      <c r="K30" s="322"/>
      <c r="L30" s="322">
        <f t="shared" si="51"/>
        <v>8.1122841341432892</v>
      </c>
      <c r="M30" s="322">
        <f t="shared" si="51"/>
        <v>3.3104237903722793</v>
      </c>
      <c r="N30" s="322">
        <f t="shared" si="51"/>
        <v>26.595668373793302</v>
      </c>
      <c r="O30" s="322">
        <f t="shared" si="51"/>
        <v>8.9593756663078032</v>
      </c>
      <c r="Q30" t="str">
        <f>$A$12</f>
        <v>Skilled trades occupations</v>
      </c>
      <c r="R30" s="322">
        <f t="shared" ref="R30:U30" si="52">R12/R$18*100</f>
        <v>19.602733076154209</v>
      </c>
      <c r="S30" s="322">
        <f t="shared" si="52"/>
        <v>9.3718224387136573</v>
      </c>
      <c r="T30" s="322">
        <f t="shared" si="52"/>
        <v>34.467506304950149</v>
      </c>
      <c r="U30" s="322">
        <f t="shared" si="52"/>
        <v>20.380614537047183</v>
      </c>
      <c r="V30" s="322"/>
      <c r="W30" s="322">
        <f t="shared" ref="W30:Z30" si="53">W12/W$18*100</f>
        <v>16.328397003690974</v>
      </c>
      <c r="X30" s="322">
        <f t="shared" si="53"/>
        <v>6.7758313315118173</v>
      </c>
      <c r="Y30" s="322">
        <f t="shared" si="53"/>
        <v>35.919825441630302</v>
      </c>
      <c r="Z30" s="322">
        <f t="shared" si="53"/>
        <v>17.935725837219358</v>
      </c>
      <c r="AA30" s="322"/>
      <c r="AB30" s="322">
        <f t="shared" ref="AB30:AE30" si="54">AB12/AB$18*100</f>
        <v>12.541239976228024</v>
      </c>
      <c r="AC30" s="322">
        <f t="shared" si="54"/>
        <v>7.6410236556654105</v>
      </c>
      <c r="AD30" s="322">
        <f t="shared" si="54"/>
        <v>34.24957561449569</v>
      </c>
      <c r="AE30" s="322">
        <f t="shared" si="54"/>
        <v>15.24243908075178</v>
      </c>
      <c r="AG30" t="str">
        <f>$A$12</f>
        <v>Skilled trades occupations</v>
      </c>
      <c r="AH30" s="322">
        <f t="shared" ref="AH30:AK30" si="55">AH12/AH$18*100</f>
        <v>1.7952255970642146</v>
      </c>
      <c r="AI30" s="322">
        <f t="shared" si="55"/>
        <v>1.4462738591996043</v>
      </c>
      <c r="AJ30" s="322">
        <f t="shared" si="55"/>
        <v>6.3702943782240808</v>
      </c>
      <c r="AK30" s="322">
        <f t="shared" si="55"/>
        <v>2.0010738610205787</v>
      </c>
      <c r="AL30" s="322"/>
      <c r="AM30" s="322">
        <f t="shared" ref="AM30:AP30" si="56">AM12/AM$18*100</f>
        <v>1.7715930339264985</v>
      </c>
      <c r="AN30" s="322">
        <f t="shared" si="56"/>
        <v>1.3500883158491011</v>
      </c>
      <c r="AO30" s="322">
        <f t="shared" si="56"/>
        <v>7.7520972360789848</v>
      </c>
      <c r="AP30" s="322">
        <f t="shared" si="56"/>
        <v>2.0274575080148503</v>
      </c>
      <c r="AQ30" s="322"/>
      <c r="AR30" s="322">
        <f t="shared" ref="AR30:AU30" si="57">AR12/AR$18*100</f>
        <v>1.6474521004470091</v>
      </c>
      <c r="AS30" s="322">
        <f t="shared" si="57"/>
        <v>1.4213689452080196</v>
      </c>
      <c r="AT30" s="322">
        <f t="shared" si="57"/>
        <v>8.2704036558437863</v>
      </c>
      <c r="AU30" s="322">
        <f t="shared" si="57"/>
        <v>2.0456043645017226</v>
      </c>
    </row>
    <row r="31" spans="1:47">
      <c r="A31" t="str">
        <f>$A$13</f>
        <v>Caring, leisure and other service occupations</v>
      </c>
      <c r="B31" s="322">
        <f t="shared" si="29"/>
        <v>7.8256575640712427</v>
      </c>
      <c r="C31" s="322">
        <f t="shared" ref="C31:O31" si="58">C13/C$18*100</f>
        <v>15.833614584369244</v>
      </c>
      <c r="D31" s="322">
        <f t="shared" si="58"/>
        <v>7.1350340221044712</v>
      </c>
      <c r="E31" s="322">
        <f t="shared" si="58"/>
        <v>9.9845701671974005</v>
      </c>
      <c r="F31" s="322"/>
      <c r="G31" s="322">
        <f t="shared" si="58"/>
        <v>8.0959305392278118</v>
      </c>
      <c r="H31" s="322">
        <f t="shared" si="58"/>
        <v>15.379202505079546</v>
      </c>
      <c r="I31" s="322">
        <f t="shared" si="58"/>
        <v>5.8498720118927618</v>
      </c>
      <c r="J31" s="322">
        <f t="shared" si="58"/>
        <v>9.9432795290016465</v>
      </c>
      <c r="K31" s="322"/>
      <c r="L31" s="322">
        <f t="shared" si="58"/>
        <v>8.8603435448066854</v>
      </c>
      <c r="M31" s="322">
        <f t="shared" si="58"/>
        <v>14.758269289473189</v>
      </c>
      <c r="N31" s="322">
        <f t="shared" si="58"/>
        <v>7.0341206138713712</v>
      </c>
      <c r="O31" s="322">
        <f t="shared" si="58"/>
        <v>10.33055104201738</v>
      </c>
      <c r="Q31" t="str">
        <f>$A$13</f>
        <v>Caring, leisure and other service occupations</v>
      </c>
      <c r="R31" s="322">
        <f t="shared" ref="R31:U31" si="59">R13/R$18*100</f>
        <v>2.3552829911951965</v>
      </c>
      <c r="S31" s="322">
        <f t="shared" si="59"/>
        <v>6.0362474747986941</v>
      </c>
      <c r="T31" s="322">
        <f t="shared" si="59"/>
        <v>1.6153626665147212</v>
      </c>
      <c r="U31" s="322">
        <f t="shared" si="59"/>
        <v>2.746762809910956</v>
      </c>
      <c r="V31" s="322"/>
      <c r="W31" s="322">
        <f t="shared" ref="W31:Z31" si="60">W13/W$18*100</f>
        <v>2.3354879782625915</v>
      </c>
      <c r="X31" s="322">
        <f t="shared" si="60"/>
        <v>5.9257236761285155</v>
      </c>
      <c r="Y31" s="322">
        <f t="shared" si="60"/>
        <v>1.5326951605756212</v>
      </c>
      <c r="Z31" s="322">
        <f t="shared" si="60"/>
        <v>2.7722815370868474</v>
      </c>
      <c r="AA31" s="322"/>
      <c r="AB31" s="322">
        <f t="shared" ref="AB31:AE31" si="61">AB13/AB$18*100</f>
        <v>2.5046407390959864</v>
      </c>
      <c r="AC31" s="322">
        <f t="shared" si="61"/>
        <v>6.8082421753951268</v>
      </c>
      <c r="AD31" s="322">
        <f t="shared" si="61"/>
        <v>2.2027059626432317</v>
      </c>
      <c r="AE31" s="322">
        <f t="shared" si="61"/>
        <v>3.1705925330100566</v>
      </c>
      <c r="AG31" t="str">
        <f>$A$13</f>
        <v>Caring, leisure and other service occupations</v>
      </c>
      <c r="AH31" s="322">
        <f t="shared" ref="AH31:AK31" si="62">AH13/AH$18*100</f>
        <v>18.214423772236781</v>
      </c>
      <c r="AI31" s="322">
        <f t="shared" si="62"/>
        <v>19.406038582322712</v>
      </c>
      <c r="AJ31" s="322">
        <f t="shared" si="62"/>
        <v>19.494241932270167</v>
      </c>
      <c r="AK31" s="322">
        <f t="shared" si="62"/>
        <v>18.860094600740872</v>
      </c>
      <c r="AL31" s="322"/>
      <c r="AM31" s="322">
        <f t="shared" ref="AM31:AP31" si="63">AM13/AM$18*100</f>
        <v>17.463101543907133</v>
      </c>
      <c r="AN31" s="322">
        <f t="shared" si="63"/>
        <v>19.223283984599597</v>
      </c>
      <c r="AO31" s="322">
        <f t="shared" si="63"/>
        <v>16.464388253282884</v>
      </c>
      <c r="AP31" s="322">
        <f t="shared" si="63"/>
        <v>18.169466263218695</v>
      </c>
      <c r="AQ31" s="322"/>
      <c r="AR31" s="322">
        <f t="shared" ref="AR31:AU31" si="64">AR13/AR$18*100</f>
        <v>18.137598175476302</v>
      </c>
      <c r="AS31" s="322">
        <f t="shared" si="64"/>
        <v>18.226157735920513</v>
      </c>
      <c r="AT31" s="322">
        <f t="shared" si="64"/>
        <v>18.601670319087109</v>
      </c>
      <c r="AU31" s="322">
        <f t="shared" si="64"/>
        <v>18.20924211935036</v>
      </c>
    </row>
    <row r="32" spans="1:47">
      <c r="A32" t="str">
        <f>$A$14</f>
        <v>Sales and customer service occupations</v>
      </c>
      <c r="B32" s="322">
        <f t="shared" si="29"/>
        <v>5.0463789769866914</v>
      </c>
      <c r="C32" s="322">
        <f t="shared" ref="C32:O32" si="65">C14/C$18*100</f>
        <v>17.962813322902786</v>
      </c>
      <c r="D32" s="322">
        <f t="shared" si="65"/>
        <v>4.2649519155161535</v>
      </c>
      <c r="E32" s="322">
        <f t="shared" si="65"/>
        <v>8.5671966726316935</v>
      </c>
      <c r="F32" s="322"/>
      <c r="G32" s="322">
        <f t="shared" si="65"/>
        <v>4.6765025299687508</v>
      </c>
      <c r="H32" s="322">
        <f t="shared" si="65"/>
        <v>16.705468188309617</v>
      </c>
      <c r="I32" s="322">
        <f t="shared" si="65"/>
        <v>2.650415333151666</v>
      </c>
      <c r="J32" s="322">
        <f t="shared" si="65"/>
        <v>7.9283074645789942</v>
      </c>
      <c r="K32" s="322"/>
      <c r="L32" s="322">
        <f t="shared" si="65"/>
        <v>4.4108345201319699</v>
      </c>
      <c r="M32" s="322">
        <f t="shared" si="65"/>
        <v>16.157652597902182</v>
      </c>
      <c r="N32" s="322">
        <f t="shared" si="65"/>
        <v>2.0089677501089787</v>
      </c>
      <c r="O32" s="322">
        <f t="shared" si="65"/>
        <v>7.4876007395524455</v>
      </c>
      <c r="Q32" t="str">
        <f>$A$14</f>
        <v>Sales and customer service occupations</v>
      </c>
      <c r="R32" s="322">
        <f t="shared" ref="R32:U32" si="66">R14/R$18*100</f>
        <v>4.3205466166855366</v>
      </c>
      <c r="S32" s="322">
        <f t="shared" si="66"/>
        <v>19.68903427971177</v>
      </c>
      <c r="T32" s="322">
        <f t="shared" si="66"/>
        <v>3.9821370347005884</v>
      </c>
      <c r="U32" s="322">
        <f t="shared" si="66"/>
        <v>6.3557809611786569</v>
      </c>
      <c r="V32" s="322"/>
      <c r="W32" s="322">
        <f t="shared" ref="W32:Z32" si="67">W14/W$18*100</f>
        <v>4.246745060230344</v>
      </c>
      <c r="X32" s="322">
        <f t="shared" si="67"/>
        <v>19.385747018549555</v>
      </c>
      <c r="Y32" s="322">
        <f t="shared" si="67"/>
        <v>2.241952825587803</v>
      </c>
      <c r="Z32" s="322">
        <f t="shared" si="67"/>
        <v>6.3075888857685598</v>
      </c>
      <c r="AA32" s="322"/>
      <c r="AB32" s="322">
        <f>AB14/AB$18*100</f>
        <v>4.446937848337261</v>
      </c>
      <c r="AC32" s="322">
        <f t="shared" ref="AC32:AE32" si="68">AC14/AC$18*100</f>
        <v>19.319043983047436</v>
      </c>
      <c r="AD32" s="322">
        <f t="shared" si="68"/>
        <v>1.8804570682424668</v>
      </c>
      <c r="AE32" s="322">
        <f t="shared" si="68"/>
        <v>6.5016656180771957</v>
      </c>
      <c r="AG32" t="str">
        <f>$A$14</f>
        <v>Sales and customer service occupations</v>
      </c>
      <c r="AH32" s="322">
        <f t="shared" ref="AH32:AK32" si="69">AH14/AH$18*100</f>
        <v>6.424804274383705</v>
      </c>
      <c r="AI32" s="322">
        <f t="shared" si="69"/>
        <v>17.333379608425499</v>
      </c>
      <c r="AJ32" s="322">
        <f t="shared" si="69"/>
        <v>4.8982084423831971</v>
      </c>
      <c r="AK32" s="322">
        <f t="shared" si="69"/>
        <v>11.27899504067806</v>
      </c>
      <c r="AL32" s="322"/>
      <c r="AM32" s="322">
        <f t="shared" ref="AM32:AP32" si="70">AM14/AM$18*100</f>
        <v>5.3753397576597211</v>
      </c>
      <c r="AN32" s="322">
        <f t="shared" si="70"/>
        <v>15.615582613094519</v>
      </c>
      <c r="AO32" s="322">
        <f t="shared" si="70"/>
        <v>3.6546901335256177</v>
      </c>
      <c r="AP32" s="322">
        <f t="shared" si="70"/>
        <v>9.7875094456619038</v>
      </c>
      <c r="AQ32" s="322"/>
      <c r="AR32" s="322">
        <f t="shared" ref="AR32:AU32" si="71">AR14/AR$18*100</f>
        <v>4.358135427834231</v>
      </c>
      <c r="AS32" s="322">
        <f t="shared" si="71"/>
        <v>14.778619230855004</v>
      </c>
      <c r="AT32" s="322">
        <f t="shared" si="71"/>
        <v>2.3166527259294982</v>
      </c>
      <c r="AU32" s="322">
        <f t="shared" si="71"/>
        <v>8.5725062225415023</v>
      </c>
    </row>
    <row r="33" spans="1:47">
      <c r="A33" t="str">
        <f>$A$15</f>
        <v>Process, plant and machine operatives</v>
      </c>
      <c r="B33" s="322">
        <f t="shared" si="29"/>
        <v>12.040462765953992</v>
      </c>
      <c r="C33" s="322">
        <f t="shared" ref="C33:O33" si="72">C15/C$18*100</f>
        <v>3.4391854812677161</v>
      </c>
      <c r="D33" s="322">
        <f t="shared" si="72"/>
        <v>9.3607572084846655</v>
      </c>
      <c r="E33" s="322">
        <f t="shared" si="72"/>
        <v>9.3244120522857923</v>
      </c>
      <c r="F33" s="322"/>
      <c r="G33" s="322">
        <f t="shared" si="72"/>
        <v>9.5384214018307176</v>
      </c>
      <c r="H33" s="322">
        <f t="shared" si="72"/>
        <v>4.3598441053844503</v>
      </c>
      <c r="I33" s="322">
        <f t="shared" si="72"/>
        <v>10.369556501210107</v>
      </c>
      <c r="J33" s="322">
        <f t="shared" si="72"/>
        <v>8.1335877310080438</v>
      </c>
      <c r="K33" s="322"/>
      <c r="L33" s="322">
        <f t="shared" si="72"/>
        <v>8.1996703651744216</v>
      </c>
      <c r="M33" s="322">
        <f t="shared" si="72"/>
        <v>4.8707613737711375</v>
      </c>
      <c r="N33" s="322">
        <f t="shared" si="72"/>
        <v>11.991597273133896</v>
      </c>
      <c r="O33" s="322">
        <f t="shared" si="72"/>
        <v>7.7019254426929713</v>
      </c>
      <c r="Q33" t="str">
        <f>$A$15</f>
        <v>Process, plant and machine operatives</v>
      </c>
      <c r="R33" s="322">
        <f t="shared" ref="R33:U33" si="73">R15/R$18*100</f>
        <v>16.428177387102703</v>
      </c>
      <c r="S33" s="322">
        <f t="shared" si="73"/>
        <v>9.3208653780042887</v>
      </c>
      <c r="T33" s="322">
        <f t="shared" si="73"/>
        <v>12.675466877145688</v>
      </c>
      <c r="U33" s="322">
        <f t="shared" si="73"/>
        <v>14.917450089489684</v>
      </c>
      <c r="V33" s="322"/>
      <c r="W33" s="322">
        <f t="shared" ref="W33:Z33" si="74">W15/W$18*100</f>
        <v>13.679849215085635</v>
      </c>
      <c r="X33" s="322">
        <f t="shared" si="74"/>
        <v>11.625599631026089</v>
      </c>
      <c r="Y33" s="322">
        <f t="shared" si="74"/>
        <v>13.440336763793297</v>
      </c>
      <c r="Z33" s="322">
        <f t="shared" si="74"/>
        <v>13.319045043011643</v>
      </c>
      <c r="AA33" s="322"/>
      <c r="AB33" s="322">
        <f t="shared" ref="AB33:AE33" si="75">AB15/AB$18*100</f>
        <v>11.878880772864916</v>
      </c>
      <c r="AC33" s="322">
        <f t="shared" si="75"/>
        <v>11.531598784980506</v>
      </c>
      <c r="AD33" s="322">
        <f t="shared" si="75"/>
        <v>15.718641961302227</v>
      </c>
      <c r="AE33" s="322">
        <f t="shared" si="75"/>
        <v>12.442952827020274</v>
      </c>
      <c r="AG33" t="str">
        <f>$A$15</f>
        <v>Process, plant and machine operatives</v>
      </c>
      <c r="AH33" s="322">
        <f t="shared" ref="AH33:AK33" si="76">AH15/AH$18*100</f>
        <v>3.7077716896830806</v>
      </c>
      <c r="AI33" s="322">
        <f t="shared" si="76"/>
        <v>1.2945425199095759</v>
      </c>
      <c r="AJ33" s="322">
        <f t="shared" si="76"/>
        <v>1.9387236638007688</v>
      </c>
      <c r="AK33" s="322">
        <f t="shared" si="76"/>
        <v>2.4658230754782773</v>
      </c>
      <c r="AL33" s="322"/>
      <c r="AM33" s="322">
        <f t="shared" ref="AM33:AP33" si="77">AM15/AM$18*100</f>
        <v>2.8039627001378911</v>
      </c>
      <c r="AN33" s="322">
        <f t="shared" si="77"/>
        <v>1.4053596498521523</v>
      </c>
      <c r="AO33" s="322">
        <f t="shared" si="77"/>
        <v>2.8195190361048863</v>
      </c>
      <c r="AP33" s="322">
        <f t="shared" si="77"/>
        <v>2.1851074498885397</v>
      </c>
      <c r="AQ33" s="322"/>
      <c r="AR33" s="322">
        <f t="shared" ref="AR33:AU33" si="78">AR15/AR$18*100</f>
        <v>2.8292223068911628</v>
      </c>
      <c r="AS33" s="322">
        <f t="shared" si="78"/>
        <v>1.965231522043607</v>
      </c>
      <c r="AT33" s="322">
        <f t="shared" si="78"/>
        <v>3.0681705345516073</v>
      </c>
      <c r="AU33" s="322">
        <f t="shared" si="78"/>
        <v>2.4849831792287014</v>
      </c>
    </row>
    <row r="34" spans="1:47">
      <c r="A34" t="str">
        <f>$A$16</f>
        <v>Elementary occupations</v>
      </c>
      <c r="B34" s="322">
        <f t="shared" si="29"/>
        <v>8.3690458082503039</v>
      </c>
      <c r="C34" s="322">
        <f t="shared" ref="C34:O34" si="79">C16/C$18*100</f>
        <v>18.2703929106187</v>
      </c>
      <c r="D34" s="322">
        <f t="shared" si="79"/>
        <v>9.4813687273812448</v>
      </c>
      <c r="E34" s="322">
        <f t="shared" si="79"/>
        <v>11.2666573662686</v>
      </c>
      <c r="F34" s="322"/>
      <c r="G34" s="322">
        <f t="shared" si="79"/>
        <v>6.6765926141165775</v>
      </c>
      <c r="H34" s="322">
        <f t="shared" si="79"/>
        <v>15.286150384076786</v>
      </c>
      <c r="I34" s="322">
        <f t="shared" si="79"/>
        <v>7.9464873713481765</v>
      </c>
      <c r="J34" s="322">
        <f t="shared" si="79"/>
        <v>9.3283742250192265</v>
      </c>
      <c r="K34" s="322"/>
      <c r="L34" s="322">
        <f t="shared" si="79"/>
        <v>6.8074044772737814</v>
      </c>
      <c r="M34" s="322">
        <f t="shared" si="79"/>
        <v>12.615377777079054</v>
      </c>
      <c r="N34" s="322">
        <f t="shared" si="79"/>
        <v>9.613833408189441</v>
      </c>
      <c r="O34" s="322">
        <f t="shared" si="79"/>
        <v>8.8089818201452381</v>
      </c>
      <c r="Q34" t="str">
        <f>$A$16</f>
        <v>Elementary occupations</v>
      </c>
      <c r="R34" s="322">
        <f t="shared" ref="R34:U34" si="80">R16/R$18*100</f>
        <v>10.20907983426061</v>
      </c>
      <c r="S34" s="322">
        <f t="shared" si="80"/>
        <v>23.865194965915176</v>
      </c>
      <c r="T34" s="322">
        <f t="shared" si="80"/>
        <v>6.8317411993767951</v>
      </c>
      <c r="U34" s="322">
        <f t="shared" si="80"/>
        <v>11.569327361493855</v>
      </c>
      <c r="V34" s="322"/>
      <c r="W34" s="322">
        <f t="shared" ref="W34:Z34" si="81">W16/W$18*100</f>
        <v>8.4805181760901398</v>
      </c>
      <c r="X34" s="322">
        <f t="shared" si="81"/>
        <v>18.463600012856453</v>
      </c>
      <c r="Y34" s="322">
        <f t="shared" si="81"/>
        <v>5.5713091657060367</v>
      </c>
      <c r="Z34" s="322">
        <f t="shared" si="81"/>
        <v>9.587669580389603</v>
      </c>
      <c r="AA34" s="322"/>
      <c r="AB34" s="322">
        <f t="shared" ref="AB34:AE34" si="82">AB16/AB$18*100</f>
        <v>8.9406041080104171</v>
      </c>
      <c r="AC34" s="322">
        <f t="shared" si="82"/>
        <v>14.643999883332112</v>
      </c>
      <c r="AD34" s="322">
        <f t="shared" si="82"/>
        <v>6.8806978126438922</v>
      </c>
      <c r="AE34" s="322">
        <f t="shared" si="82"/>
        <v>9.5544053930943011</v>
      </c>
      <c r="AG34" t="str">
        <f>$A$16</f>
        <v>Elementary occupations</v>
      </c>
      <c r="AH34" s="322">
        <f t="shared" ref="AH34:AK34" si="83">AH16/AH$18*100</f>
        <v>4.8746446376115404</v>
      </c>
      <c r="AI34" s="322">
        <f t="shared" si="83"/>
        <v>16.230354510239035</v>
      </c>
      <c r="AJ34" s="322">
        <f t="shared" si="83"/>
        <v>15.414203382463068</v>
      </c>
      <c r="AK34" s="322">
        <f t="shared" si="83"/>
        <v>10.895501461543137</v>
      </c>
      <c r="AL34" s="322"/>
      <c r="AM34" s="322">
        <f t="shared" ref="AM34:AP34" si="84">AM16/AM$18*100</f>
        <v>3.743193133107388</v>
      </c>
      <c r="AN34" s="322">
        <f t="shared" si="84"/>
        <v>13.994099543206055</v>
      </c>
      <c r="AO34" s="322">
        <f t="shared" si="84"/>
        <v>13.786268438526966</v>
      </c>
      <c r="AP34" s="322">
        <f t="shared" si="84"/>
        <v>9.0309244118974217</v>
      </c>
      <c r="AQ34" s="322"/>
      <c r="AR34" s="322">
        <f t="shared" ref="AR34:AU34" si="85">AR16/AR$18*100</f>
        <v>3.6936282738596971</v>
      </c>
      <c r="AS34" s="322">
        <f t="shared" si="85"/>
        <v>11.730470711539013</v>
      </c>
      <c r="AT34" s="322">
        <f t="shared" si="85"/>
        <v>16.157606637119574</v>
      </c>
      <c r="AU34" s="322">
        <f t="shared" si="85"/>
        <v>7.98873097013833</v>
      </c>
    </row>
    <row r="35" spans="1:47">
      <c r="B35" s="322"/>
      <c r="C35" s="322"/>
      <c r="D35" s="322"/>
      <c r="E35" s="322"/>
      <c r="F35" s="322"/>
      <c r="G35" s="322"/>
      <c r="H35" s="322"/>
      <c r="I35" s="322"/>
      <c r="J35" s="322"/>
      <c r="K35" s="322"/>
      <c r="L35" s="322"/>
      <c r="M35" s="322"/>
      <c r="N35" s="322"/>
      <c r="O35" s="322"/>
      <c r="R35" s="322"/>
      <c r="S35" s="322"/>
      <c r="T35" s="322"/>
      <c r="U35" s="322"/>
      <c r="V35" s="322"/>
      <c r="W35" s="322"/>
      <c r="X35" s="322"/>
      <c r="Y35" s="322"/>
      <c r="Z35" s="322"/>
      <c r="AA35" s="322"/>
      <c r="AB35" s="322"/>
      <c r="AC35" s="322"/>
      <c r="AD35" s="322"/>
      <c r="AE35" s="322"/>
      <c r="AH35" s="322"/>
      <c r="AI35" s="322"/>
      <c r="AJ35" s="322"/>
      <c r="AK35" s="322"/>
      <c r="AL35" s="322"/>
      <c r="AM35" s="322"/>
      <c r="AN35" s="322"/>
      <c r="AO35" s="322"/>
      <c r="AP35" s="322"/>
      <c r="AQ35" s="322"/>
      <c r="AR35" s="322"/>
      <c r="AS35" s="322"/>
      <c r="AT35" s="322"/>
      <c r="AU35" s="322"/>
    </row>
    <row r="36" spans="1:47">
      <c r="A36" s="22" t="str">
        <f>$A$18</f>
        <v>All occupations</v>
      </c>
      <c r="B36" s="361">
        <f>B18/B$18*100</f>
        <v>100</v>
      </c>
      <c r="C36" s="361">
        <f t="shared" ref="C36:O36" si="86">C18/C$18*100</f>
        <v>100</v>
      </c>
      <c r="D36" s="361">
        <f t="shared" si="86"/>
        <v>100</v>
      </c>
      <c r="E36" s="361">
        <f t="shared" si="86"/>
        <v>100</v>
      </c>
      <c r="F36" s="361"/>
      <c r="G36" s="361">
        <f t="shared" si="86"/>
        <v>100</v>
      </c>
      <c r="H36" s="361">
        <f t="shared" si="86"/>
        <v>100</v>
      </c>
      <c r="I36" s="361">
        <f t="shared" si="86"/>
        <v>100</v>
      </c>
      <c r="J36" s="361">
        <f t="shared" si="86"/>
        <v>100</v>
      </c>
      <c r="K36" s="361"/>
      <c r="L36" s="361">
        <f t="shared" si="86"/>
        <v>100</v>
      </c>
      <c r="M36" s="361">
        <f t="shared" si="86"/>
        <v>100</v>
      </c>
      <c r="N36" s="361">
        <f t="shared" si="86"/>
        <v>100</v>
      </c>
      <c r="O36" s="361">
        <f t="shared" si="86"/>
        <v>100</v>
      </c>
      <c r="Q36" s="22" t="str">
        <f>$A$18</f>
        <v>All occupations</v>
      </c>
      <c r="R36" s="361">
        <f>R18/R$18*100</f>
        <v>100</v>
      </c>
      <c r="S36" s="361">
        <f t="shared" ref="S36:U36" si="87">S18/S$18*100</f>
        <v>100</v>
      </c>
      <c r="T36" s="361">
        <f t="shared" si="87"/>
        <v>100</v>
      </c>
      <c r="U36" s="361">
        <f t="shared" si="87"/>
        <v>100</v>
      </c>
      <c r="V36" s="361"/>
      <c r="W36" s="361">
        <f t="shared" ref="W36:Z36" si="88">W18/W$18*100</f>
        <v>100</v>
      </c>
      <c r="X36" s="361">
        <f t="shared" si="88"/>
        <v>100</v>
      </c>
      <c r="Y36" s="361">
        <f t="shared" si="88"/>
        <v>100</v>
      </c>
      <c r="Z36" s="361">
        <f t="shared" si="88"/>
        <v>100</v>
      </c>
      <c r="AA36" s="361"/>
      <c r="AB36" s="361">
        <f t="shared" ref="AB36:AE36" si="89">AB18/AB$18*100</f>
        <v>100</v>
      </c>
      <c r="AC36" s="361">
        <f t="shared" si="89"/>
        <v>100</v>
      </c>
      <c r="AD36" s="361">
        <f t="shared" si="89"/>
        <v>100</v>
      </c>
      <c r="AE36" s="361">
        <f t="shared" si="89"/>
        <v>100</v>
      </c>
      <c r="AG36" s="22" t="str">
        <f>$A$18</f>
        <v>All occupations</v>
      </c>
      <c r="AH36" s="361">
        <f>AH18/AH$18*100</f>
        <v>100</v>
      </c>
      <c r="AI36" s="361">
        <f t="shared" ref="AI36:AK36" si="90">AI18/AI$18*100</f>
        <v>100</v>
      </c>
      <c r="AJ36" s="361">
        <f t="shared" si="90"/>
        <v>100</v>
      </c>
      <c r="AK36" s="361">
        <f t="shared" si="90"/>
        <v>100</v>
      </c>
      <c r="AL36" s="361"/>
      <c r="AM36" s="361">
        <f t="shared" ref="AM36:AP36" si="91">AM18/AM$18*100</f>
        <v>100</v>
      </c>
      <c r="AN36" s="361">
        <f t="shared" si="91"/>
        <v>100</v>
      </c>
      <c r="AO36" s="361">
        <f t="shared" si="91"/>
        <v>100</v>
      </c>
      <c r="AP36" s="361">
        <f t="shared" si="91"/>
        <v>100</v>
      </c>
      <c r="AQ36" s="361"/>
      <c r="AR36" s="361">
        <f t="shared" ref="AR36:AU36" si="92">AR18/AR$18*100</f>
        <v>100</v>
      </c>
      <c r="AS36" s="361">
        <f t="shared" si="92"/>
        <v>100</v>
      </c>
      <c r="AT36" s="361">
        <f t="shared" si="92"/>
        <v>100</v>
      </c>
      <c r="AU36" s="361">
        <f t="shared" si="92"/>
        <v>100</v>
      </c>
    </row>
    <row r="37" spans="1:47">
      <c r="B37" s="322"/>
      <c r="C37" s="322"/>
      <c r="D37" s="322"/>
      <c r="E37" s="322"/>
      <c r="F37" s="322"/>
      <c r="G37" s="322"/>
      <c r="H37" s="322"/>
      <c r="I37" s="322"/>
      <c r="J37" s="322"/>
      <c r="K37" s="322"/>
      <c r="L37" s="322"/>
      <c r="M37" s="322"/>
      <c r="N37" s="322"/>
      <c r="O37" s="322"/>
      <c r="R37" s="322"/>
      <c r="S37" s="322"/>
      <c r="T37" s="322"/>
      <c r="U37" s="322"/>
      <c r="V37" s="322"/>
      <c r="W37" s="322"/>
      <c r="X37" s="322"/>
      <c r="Y37" s="322"/>
      <c r="Z37" s="322"/>
      <c r="AA37" s="322"/>
      <c r="AB37" s="322"/>
      <c r="AC37" s="322"/>
      <c r="AD37" s="322"/>
      <c r="AE37" s="322"/>
      <c r="AH37" s="322"/>
      <c r="AI37" s="322"/>
      <c r="AJ37" s="322"/>
      <c r="AK37" s="322"/>
      <c r="AL37" s="322"/>
      <c r="AM37" s="322"/>
      <c r="AN37" s="322"/>
      <c r="AO37" s="322"/>
      <c r="AP37" s="322"/>
      <c r="AQ37" s="322"/>
      <c r="AR37" s="322"/>
      <c r="AS37" s="322"/>
      <c r="AT37" s="322"/>
      <c r="AU37" s="322"/>
    </row>
    <row r="38" spans="1:47">
      <c r="B38" s="322"/>
      <c r="C38" s="322"/>
      <c r="D38" s="322"/>
      <c r="E38" s="322"/>
      <c r="F38" s="322"/>
      <c r="G38" s="322"/>
      <c r="H38" s="322"/>
      <c r="I38" s="322"/>
      <c r="J38" s="322"/>
      <c r="K38" s="322"/>
      <c r="L38" s="322"/>
      <c r="M38" s="322"/>
      <c r="N38" s="322"/>
      <c r="O38" s="322"/>
      <c r="R38" s="322"/>
      <c r="S38" s="322"/>
      <c r="T38" s="322"/>
      <c r="U38" s="322"/>
      <c r="V38" s="322"/>
      <c r="W38" s="322"/>
      <c r="X38" s="322"/>
      <c r="Y38" s="322"/>
      <c r="Z38" s="322"/>
      <c r="AA38" s="322"/>
      <c r="AB38" s="322"/>
      <c r="AC38" s="322"/>
      <c r="AD38" s="322"/>
      <c r="AE38" s="322"/>
      <c r="AH38" s="322"/>
      <c r="AI38" s="322"/>
      <c r="AJ38" s="322"/>
      <c r="AK38" s="322"/>
      <c r="AL38" s="322"/>
      <c r="AM38" s="322"/>
      <c r="AN38" s="322"/>
      <c r="AO38" s="322"/>
      <c r="AP38" s="322"/>
      <c r="AQ38" s="322"/>
      <c r="AR38" s="322"/>
      <c r="AS38" s="322"/>
      <c r="AT38" s="322"/>
      <c r="AU38" s="322"/>
    </row>
    <row r="39" spans="1:47">
      <c r="B39" s="322"/>
      <c r="C39" s="322"/>
      <c r="D39" s="322"/>
      <c r="E39" s="322"/>
      <c r="F39" s="322"/>
      <c r="G39" s="322"/>
      <c r="H39" s="322"/>
      <c r="I39" s="322"/>
      <c r="J39" s="322"/>
      <c r="K39" s="322"/>
      <c r="L39" s="322"/>
      <c r="M39" s="322"/>
      <c r="N39" s="322"/>
      <c r="O39" s="322"/>
      <c r="R39" s="322"/>
      <c r="S39" s="322"/>
      <c r="T39" s="322"/>
      <c r="U39" s="322"/>
      <c r="V39" s="322"/>
      <c r="W39" s="322"/>
      <c r="X39" s="322"/>
      <c r="Y39" s="322"/>
      <c r="Z39" s="322"/>
      <c r="AA39" s="322"/>
      <c r="AB39" s="322"/>
      <c r="AC39" s="322"/>
      <c r="AD39" s="322"/>
      <c r="AE39" s="322"/>
      <c r="AH39" s="322"/>
      <c r="AI39" s="322"/>
      <c r="AJ39" s="322"/>
      <c r="AK39" s="322"/>
      <c r="AL39" s="322"/>
      <c r="AM39" s="322"/>
      <c r="AN39" s="322"/>
      <c r="AO39" s="322"/>
      <c r="AP39" s="322"/>
      <c r="AQ39" s="322"/>
      <c r="AR39" s="322"/>
      <c r="AS39" s="322"/>
      <c r="AT39" s="322"/>
      <c r="AU39" s="322"/>
    </row>
    <row r="40" spans="1:47">
      <c r="A40" s="29"/>
      <c r="B40" s="367"/>
      <c r="C40" s="367"/>
      <c r="D40" s="367"/>
      <c r="E40" s="367"/>
      <c r="F40" s="367"/>
      <c r="G40" s="367"/>
      <c r="H40" s="367"/>
      <c r="I40" s="367"/>
      <c r="J40" s="367"/>
      <c r="K40" s="367"/>
      <c r="L40" s="367"/>
      <c r="M40" s="367"/>
      <c r="N40" s="367"/>
      <c r="O40" s="367"/>
      <c r="Q40" s="29"/>
      <c r="R40" s="367"/>
      <c r="S40" s="367"/>
      <c r="T40" s="367"/>
      <c r="U40" s="367"/>
      <c r="V40" s="367"/>
      <c r="W40" s="367"/>
      <c r="X40" s="367"/>
      <c r="Y40" s="367"/>
      <c r="Z40" s="367"/>
      <c r="AA40" s="367"/>
      <c r="AB40" s="367"/>
      <c r="AC40" s="367"/>
      <c r="AD40" s="367"/>
      <c r="AE40" s="367"/>
      <c r="AG40" s="29"/>
      <c r="AH40" s="367"/>
      <c r="AI40" s="367"/>
      <c r="AJ40" s="367"/>
      <c r="AK40" s="367"/>
      <c r="AL40" s="367"/>
      <c r="AM40" s="367"/>
      <c r="AN40" s="367"/>
      <c r="AO40" s="367"/>
      <c r="AP40" s="367"/>
      <c r="AQ40" s="367"/>
      <c r="AR40" s="367"/>
      <c r="AS40" s="367"/>
      <c r="AT40" s="367"/>
      <c r="AU40" s="367"/>
    </row>
    <row r="41" spans="1:47">
      <c r="B41" s="350" t="str">
        <f>B5&amp;"-"&amp;G5</f>
        <v>2015-2020</v>
      </c>
      <c r="C41" s="350"/>
      <c r="D41" s="350"/>
      <c r="E41" s="350"/>
      <c r="F41" s="1"/>
      <c r="G41" s="350" t="str">
        <f>G5&amp;"-"&amp;L5</f>
        <v>2020-2035</v>
      </c>
      <c r="H41" s="350"/>
      <c r="I41" s="350"/>
      <c r="J41" s="350"/>
      <c r="K41" s="1"/>
      <c r="L41" s="350" t="str">
        <f>B5&amp;"-"&amp;L5</f>
        <v>2015-2035</v>
      </c>
      <c r="M41" s="350"/>
      <c r="N41" s="350"/>
      <c r="O41" s="350"/>
      <c r="R41" s="350" t="str">
        <f>R5&amp;"-"&amp;W5</f>
        <v>2015-2020</v>
      </c>
      <c r="S41" s="350"/>
      <c r="T41" s="350"/>
      <c r="U41" s="350"/>
      <c r="V41" s="1"/>
      <c r="W41" s="350" t="str">
        <f>W5&amp;"-"&amp;AB5</f>
        <v>2020-2035</v>
      </c>
      <c r="X41" s="350"/>
      <c r="Y41" s="350"/>
      <c r="Z41" s="350"/>
      <c r="AA41" s="1"/>
      <c r="AB41" s="350" t="str">
        <f>R5&amp;"-"&amp;AB5</f>
        <v>2015-2035</v>
      </c>
      <c r="AC41" s="350"/>
      <c r="AD41" s="350"/>
      <c r="AE41" s="350"/>
      <c r="AH41" s="350" t="str">
        <f>AH5&amp;"-"&amp;AM5</f>
        <v>2015-2020</v>
      </c>
      <c r="AI41" s="350"/>
      <c r="AJ41" s="350"/>
      <c r="AK41" s="350"/>
      <c r="AL41" s="1"/>
      <c r="AM41" s="350" t="str">
        <f>AM5&amp;"-"&amp;AR5</f>
        <v>2020-2035</v>
      </c>
      <c r="AN41" s="350"/>
      <c r="AO41" s="350"/>
      <c r="AP41" s="350"/>
      <c r="AQ41" s="1"/>
      <c r="AR41" s="350" t="str">
        <f>AH5&amp;"-"&amp;AR5</f>
        <v>2015-2035</v>
      </c>
      <c r="AS41" s="350"/>
      <c r="AT41" s="350"/>
      <c r="AU41" s="350"/>
    </row>
    <row r="42" spans="1:47">
      <c r="A42" s="32" t="s">
        <v>118</v>
      </c>
      <c r="B42" s="309" t="s">
        <v>136</v>
      </c>
      <c r="C42" s="309" t="s">
        <v>137</v>
      </c>
      <c r="D42" s="309" t="s">
        <v>138</v>
      </c>
      <c r="E42" s="309" t="s">
        <v>117</v>
      </c>
      <c r="F42" s="310"/>
      <c r="G42" s="309" t="s">
        <v>136</v>
      </c>
      <c r="H42" s="309" t="s">
        <v>137</v>
      </c>
      <c r="I42" s="309" t="s">
        <v>138</v>
      </c>
      <c r="J42" s="309" t="s">
        <v>117</v>
      </c>
      <c r="K42" s="310"/>
      <c r="L42" s="309" t="s">
        <v>136</v>
      </c>
      <c r="M42" s="309" t="s">
        <v>137</v>
      </c>
      <c r="N42" s="309" t="s">
        <v>138</v>
      </c>
      <c r="O42" s="309" t="s">
        <v>117</v>
      </c>
      <c r="Q42" s="32" t="s">
        <v>118</v>
      </c>
      <c r="R42" s="309" t="s">
        <v>136</v>
      </c>
      <c r="S42" s="309" t="s">
        <v>137</v>
      </c>
      <c r="T42" s="309" t="s">
        <v>138</v>
      </c>
      <c r="U42" s="309" t="s">
        <v>117</v>
      </c>
      <c r="V42" s="310"/>
      <c r="W42" s="309" t="s">
        <v>136</v>
      </c>
      <c r="X42" s="309" t="s">
        <v>137</v>
      </c>
      <c r="Y42" s="309" t="s">
        <v>138</v>
      </c>
      <c r="Z42" s="309" t="s">
        <v>117</v>
      </c>
      <c r="AA42" s="310"/>
      <c r="AB42" s="309" t="s">
        <v>136</v>
      </c>
      <c r="AC42" s="309" t="s">
        <v>137</v>
      </c>
      <c r="AD42" s="309" t="s">
        <v>138</v>
      </c>
      <c r="AE42" s="309" t="s">
        <v>117</v>
      </c>
      <c r="AG42" s="32" t="s">
        <v>118</v>
      </c>
      <c r="AH42" s="309" t="s">
        <v>136</v>
      </c>
      <c r="AI42" s="309" t="s">
        <v>137</v>
      </c>
      <c r="AJ42" s="309" t="s">
        <v>138</v>
      </c>
      <c r="AK42" s="309" t="s">
        <v>117</v>
      </c>
      <c r="AL42" s="310"/>
      <c r="AM42" s="309" t="s">
        <v>136</v>
      </c>
      <c r="AN42" s="309" t="s">
        <v>137</v>
      </c>
      <c r="AO42" s="309" t="s">
        <v>138</v>
      </c>
      <c r="AP42" s="309" t="s">
        <v>117</v>
      </c>
      <c r="AQ42" s="310"/>
      <c r="AR42" s="309" t="s">
        <v>136</v>
      </c>
      <c r="AS42" s="309" t="s">
        <v>137</v>
      </c>
      <c r="AT42" s="309" t="s">
        <v>138</v>
      </c>
      <c r="AU42" s="309" t="s">
        <v>117</v>
      </c>
    </row>
    <row r="43" spans="1:47">
      <c r="A43" s="1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Q43" s="1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G43" s="1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</row>
    <row r="44" spans="1:47">
      <c r="A44" t="str">
        <f>$A$8</f>
        <v>Managers, directors and senior officials</v>
      </c>
      <c r="B44" s="225">
        <f>G8-B8</f>
        <v>2.1492999219072502</v>
      </c>
      <c r="C44" s="225">
        <f t="shared" ref="C44:E44" si="93">H8-C8</f>
        <v>2.3727227889038263</v>
      </c>
      <c r="D44" s="225">
        <f t="shared" si="93"/>
        <v>0.88562416556444212</v>
      </c>
      <c r="E44" s="225">
        <f t="shared" si="93"/>
        <v>5.4076468763755159</v>
      </c>
      <c r="F44" s="225"/>
      <c r="G44" s="225">
        <f>L8-G8</f>
        <v>-0.28726048474828048</v>
      </c>
      <c r="H44" s="225">
        <f t="shared" ref="H44:J44" si="94">M8-H8</f>
        <v>1.1074753511642967</v>
      </c>
      <c r="I44" s="225">
        <f t="shared" si="94"/>
        <v>0.60559692774230367</v>
      </c>
      <c r="J44" s="225">
        <f t="shared" si="94"/>
        <v>1.4258117941583208</v>
      </c>
      <c r="K44" s="225"/>
      <c r="L44" s="225">
        <f>L8-B8</f>
        <v>1.8620394371589697</v>
      </c>
      <c r="M44" s="225">
        <f t="shared" ref="M44:O44" si="95">M8-C8</f>
        <v>3.480198140068123</v>
      </c>
      <c r="N44" s="225">
        <f t="shared" si="95"/>
        <v>1.4912210933067458</v>
      </c>
      <c r="O44" s="225">
        <f t="shared" si="95"/>
        <v>6.8334586705338367</v>
      </c>
      <c r="Q44" t="str">
        <f>$A$8</f>
        <v>Managers, directors and senior officials</v>
      </c>
      <c r="R44" s="225">
        <f>W8-R8</f>
        <v>0.66460246704950166</v>
      </c>
      <c r="S44" s="225">
        <f t="shared" ref="S44:S52" si="96">X8-S8</f>
        <v>1.1332563811167173</v>
      </c>
      <c r="T44" s="225">
        <f t="shared" ref="T44:T52" si="97">Y8-T8</f>
        <v>9.6101649047834137E-2</v>
      </c>
      <c r="U44" s="225">
        <f t="shared" ref="U44:U52" si="98">Z8-U8</f>
        <v>1.8939604972140494</v>
      </c>
      <c r="V44" s="225"/>
      <c r="W44" s="225">
        <f>AB8-W8</f>
        <v>-1.0507936950715226</v>
      </c>
      <c r="X44" s="225">
        <f t="shared" ref="X44:X52" si="99">AC8-X8</f>
        <v>0.27733592250628059</v>
      </c>
      <c r="Y44" s="225">
        <f t="shared" ref="Y44:Y52" si="100">AD8-Y8</f>
        <v>0.41625068551795241</v>
      </c>
      <c r="Z44" s="225">
        <f t="shared" ref="Z44:Z52" si="101">AE8-Z8</f>
        <v>-0.35720708704728565</v>
      </c>
      <c r="AA44" s="225"/>
      <c r="AB44" s="225">
        <f>AB8-R8</f>
        <v>-0.38619122802202099</v>
      </c>
      <c r="AC44" s="225">
        <f t="shared" ref="AC44:AC52" si="102">AC8-S8</f>
        <v>1.4105923036229979</v>
      </c>
      <c r="AD44" s="225">
        <f t="shared" ref="AD44:AD52" si="103">AD8-T8</f>
        <v>0.51235233456578655</v>
      </c>
      <c r="AE44" s="225">
        <f t="shared" ref="AE44:AE52" si="104">AE8-U8</f>
        <v>1.5367534101667637</v>
      </c>
      <c r="AG44" t="str">
        <f>$A$8</f>
        <v>Managers, directors and senior officials</v>
      </c>
      <c r="AH44" s="225">
        <f>AM8-AH8</f>
        <v>1.4846974548577272</v>
      </c>
      <c r="AI44" s="225">
        <f t="shared" ref="AI44:AI52" si="105">AN8-AI8</f>
        <v>1.2394664077871065</v>
      </c>
      <c r="AJ44" s="225">
        <f t="shared" ref="AJ44:AJ52" si="106">AO8-AJ8</f>
        <v>0.7895225165166142</v>
      </c>
      <c r="AK44" s="225">
        <f t="shared" ref="AK44:AK52" si="107">AP8-AK8</f>
        <v>3.5136863791614488</v>
      </c>
      <c r="AL44" s="225"/>
      <c r="AM44" s="225">
        <f>AR8-AM8</f>
        <v>0.7635332103232475</v>
      </c>
      <c r="AN44" s="225">
        <f t="shared" ref="AN44:AN52" si="108">AS8-AN8</f>
        <v>0.83013942865801349</v>
      </c>
      <c r="AO44" s="225">
        <f t="shared" ref="AO44:AO52" si="109">AT8-AO8</f>
        <v>0.1893462422243446</v>
      </c>
      <c r="AP44" s="225">
        <f t="shared" ref="AP44:AP52" si="110">AU8-AP8</f>
        <v>1.7830188812056065</v>
      </c>
      <c r="AQ44" s="225"/>
      <c r="AR44" s="225">
        <f>AR8-AH8</f>
        <v>2.2482306651809747</v>
      </c>
      <c r="AS44" s="225">
        <f t="shared" ref="AS44:AS52" si="111">AS8-AI8</f>
        <v>2.06960583644512</v>
      </c>
      <c r="AT44" s="225">
        <f t="shared" ref="AT44:AT52" si="112">AT8-AJ8</f>
        <v>0.9788687587409588</v>
      </c>
      <c r="AU44" s="225">
        <f t="shared" ref="AU44:AU52" si="113">AU8-AK8</f>
        <v>5.2967052603670552</v>
      </c>
    </row>
    <row r="45" spans="1:47">
      <c r="A45" t="str">
        <f>$A$9</f>
        <v>Professional occupations</v>
      </c>
      <c r="B45" s="225">
        <f t="shared" ref="B45:B54" si="114">G9-B9</f>
        <v>10.19198377131584</v>
      </c>
      <c r="C45" s="225">
        <f t="shared" ref="C45:C54" si="115">H9-C9</f>
        <v>4.3336327224467972</v>
      </c>
      <c r="D45" s="225">
        <f t="shared" ref="D45:D54" si="116">I9-D9</f>
        <v>1.3043091011655346</v>
      </c>
      <c r="E45" s="225">
        <f t="shared" ref="E45:E54" si="117">J9-E9</f>
        <v>15.82992559492817</v>
      </c>
      <c r="F45" s="225"/>
      <c r="G45" s="225">
        <f t="shared" ref="G45:G54" si="118">L9-G9</f>
        <v>14.249774709079901</v>
      </c>
      <c r="H45" s="225">
        <f t="shared" ref="H45:H54" si="119">M9-H9</f>
        <v>4.668839839479908</v>
      </c>
      <c r="I45" s="225">
        <f t="shared" ref="I45:I54" si="120">N9-I9</f>
        <v>-0.72323028969761083</v>
      </c>
      <c r="J45" s="225">
        <f t="shared" ref="J45:J54" si="121">O9-J9</f>
        <v>18.195384258862191</v>
      </c>
      <c r="K45" s="225"/>
      <c r="L45" s="225">
        <f t="shared" ref="L45:L54" si="122">L9-B9</f>
        <v>24.441758480395741</v>
      </c>
      <c r="M45" s="225">
        <f t="shared" ref="M45:M54" si="123">M9-C9</f>
        <v>9.0024725619267052</v>
      </c>
      <c r="N45" s="225">
        <f t="shared" ref="N45:N54" si="124">N9-D9</f>
        <v>0.58107881146792373</v>
      </c>
      <c r="O45" s="225">
        <f t="shared" ref="O45:O54" si="125">O9-E9</f>
        <v>34.025309853790361</v>
      </c>
      <c r="Q45" t="str">
        <f>$A$9</f>
        <v>Professional occupations</v>
      </c>
      <c r="R45" s="225">
        <f t="shared" ref="R45:R52" si="126">W9-R9</f>
        <v>4.0642321086402191</v>
      </c>
      <c r="S45" s="225">
        <f t="shared" si="96"/>
        <v>1.3141535633658936</v>
      </c>
      <c r="T45" s="225">
        <f t="shared" si="97"/>
        <v>1.1266991900232002</v>
      </c>
      <c r="U45" s="225">
        <f t="shared" si="98"/>
        <v>6.5050848620293209</v>
      </c>
      <c r="V45" s="225"/>
      <c r="W45" s="225">
        <f t="shared" ref="W45:W52" si="127">AB9-W9</f>
        <v>8.9482296773560108</v>
      </c>
      <c r="X45" s="225">
        <f t="shared" si="99"/>
        <v>1.6906721801182165</v>
      </c>
      <c r="Y45" s="225">
        <f t="shared" si="100"/>
        <v>-0.91260375534413019</v>
      </c>
      <c r="Z45" s="225">
        <f t="shared" si="101"/>
        <v>9.7262981021300945</v>
      </c>
      <c r="AA45" s="225"/>
      <c r="AB45" s="225">
        <f t="shared" ref="AB45:AB52" si="128">AB9-R9</f>
        <v>13.01246178599623</v>
      </c>
      <c r="AC45" s="225">
        <f t="shared" si="102"/>
        <v>3.0048257434841101</v>
      </c>
      <c r="AD45" s="225">
        <f t="shared" si="103"/>
        <v>0.21409543467907</v>
      </c>
      <c r="AE45" s="225">
        <f t="shared" si="104"/>
        <v>16.231382964159415</v>
      </c>
      <c r="AG45" t="str">
        <f>$A$9</f>
        <v>Professional occupations</v>
      </c>
      <c r="AH45" s="225">
        <f t="shared" ref="AH45:AH52" si="129">AM9-AH9</f>
        <v>6.1277516626756103</v>
      </c>
      <c r="AI45" s="225">
        <f t="shared" si="105"/>
        <v>3.0194791590809054</v>
      </c>
      <c r="AJ45" s="225">
        <f t="shared" si="106"/>
        <v>0.17760991114233038</v>
      </c>
      <c r="AK45" s="225">
        <f t="shared" si="107"/>
        <v>9.3248407328988492</v>
      </c>
      <c r="AL45" s="225"/>
      <c r="AM45" s="225">
        <f t="shared" ref="AM45:AM52" si="130">AR9-AM9</f>
        <v>5.3015450317239008</v>
      </c>
      <c r="AN45" s="225">
        <f t="shared" si="108"/>
        <v>2.9781676593616915</v>
      </c>
      <c r="AO45" s="225">
        <f t="shared" si="109"/>
        <v>0.18937346564651447</v>
      </c>
      <c r="AP45" s="225">
        <f t="shared" si="110"/>
        <v>8.4690861567321036</v>
      </c>
      <c r="AQ45" s="225"/>
      <c r="AR45" s="225">
        <f t="shared" ref="AR45:AR52" si="131">AR9-AH9</f>
        <v>11.429296694399511</v>
      </c>
      <c r="AS45" s="225">
        <f t="shared" si="111"/>
        <v>5.9976468184425968</v>
      </c>
      <c r="AT45" s="225">
        <f t="shared" si="112"/>
        <v>0.36698337678884485</v>
      </c>
      <c r="AU45" s="225">
        <f t="shared" si="113"/>
        <v>17.793926889630953</v>
      </c>
    </row>
    <row r="46" spans="1:47">
      <c r="A46" t="str">
        <f>$A$10</f>
        <v>Associate professional occupations</v>
      </c>
      <c r="B46" s="225">
        <f t="shared" si="114"/>
        <v>3.2256200849496821</v>
      </c>
      <c r="C46" s="225">
        <f t="shared" si="115"/>
        <v>2.0781188390113297</v>
      </c>
      <c r="D46" s="225">
        <f t="shared" si="116"/>
        <v>-0.61552227714685159</v>
      </c>
      <c r="E46" s="225">
        <f t="shared" si="117"/>
        <v>4.6882166468141619</v>
      </c>
      <c r="F46" s="225"/>
      <c r="G46" s="225">
        <f t="shared" si="118"/>
        <v>6.5046184337964519</v>
      </c>
      <c r="H46" s="225">
        <f t="shared" si="119"/>
        <v>3.896740366550917</v>
      </c>
      <c r="I46" s="225">
        <f t="shared" si="120"/>
        <v>0.29298384140115097</v>
      </c>
      <c r="J46" s="225">
        <f t="shared" si="121"/>
        <v>10.69434264174852</v>
      </c>
      <c r="K46" s="225"/>
      <c r="L46" s="225">
        <f t="shared" si="122"/>
        <v>9.730238518746134</v>
      </c>
      <c r="M46" s="225">
        <f t="shared" si="123"/>
        <v>5.9748592055622467</v>
      </c>
      <c r="N46" s="225">
        <f t="shared" si="124"/>
        <v>-0.32253843574570062</v>
      </c>
      <c r="O46" s="225">
        <f t="shared" si="125"/>
        <v>15.382559288562682</v>
      </c>
      <c r="Q46" t="str">
        <f>$A$10</f>
        <v>Associate professional occupations</v>
      </c>
      <c r="R46" s="225">
        <f t="shared" si="126"/>
        <v>0.595217832843975</v>
      </c>
      <c r="S46" s="225">
        <f t="shared" si="96"/>
        <v>0.93573131487776351</v>
      </c>
      <c r="T46" s="225">
        <f t="shared" si="97"/>
        <v>-0.13507443600406521</v>
      </c>
      <c r="U46" s="225">
        <f t="shared" si="98"/>
        <v>1.3958747117176742</v>
      </c>
      <c r="V46" s="225"/>
      <c r="W46" s="225">
        <f>AB10-W10</f>
        <v>-0.84668932759557336</v>
      </c>
      <c r="X46" s="225">
        <f t="shared" si="99"/>
        <v>0.21528187529459419</v>
      </c>
      <c r="Y46" s="225">
        <f t="shared" si="100"/>
        <v>0.24623976331167352</v>
      </c>
      <c r="Z46" s="225">
        <f t="shared" si="101"/>
        <v>-0.38516768898930565</v>
      </c>
      <c r="AA46" s="225"/>
      <c r="AB46" s="225">
        <f t="shared" si="128"/>
        <v>-0.25147149475159836</v>
      </c>
      <c r="AC46" s="225">
        <f t="shared" si="102"/>
        <v>1.1510131901723577</v>
      </c>
      <c r="AD46" s="225">
        <f t="shared" si="103"/>
        <v>0.11116532730760831</v>
      </c>
      <c r="AE46" s="225">
        <f t="shared" si="104"/>
        <v>1.0107070227283685</v>
      </c>
      <c r="AG46" t="str">
        <f>$A$10</f>
        <v>Associate professional occupations</v>
      </c>
      <c r="AH46" s="225">
        <f t="shared" si="129"/>
        <v>2.6304022521056982</v>
      </c>
      <c r="AI46" s="225">
        <f t="shared" si="105"/>
        <v>1.1423875241335679</v>
      </c>
      <c r="AJ46" s="225">
        <f t="shared" si="106"/>
        <v>-0.48044784114278638</v>
      </c>
      <c r="AK46" s="225">
        <f t="shared" si="107"/>
        <v>3.2923419350964771</v>
      </c>
      <c r="AL46" s="225"/>
      <c r="AM46" s="225">
        <f t="shared" si="130"/>
        <v>7.3513077613920395</v>
      </c>
      <c r="AN46" s="225">
        <f t="shared" si="108"/>
        <v>3.6814584912563237</v>
      </c>
      <c r="AO46" s="225">
        <f t="shared" si="109"/>
        <v>4.6744078089476115E-2</v>
      </c>
      <c r="AP46" s="225">
        <f t="shared" si="110"/>
        <v>11.07951033073784</v>
      </c>
      <c r="AQ46" s="225"/>
      <c r="AR46" s="225">
        <f t="shared" si="131"/>
        <v>9.9817100134977377</v>
      </c>
      <c r="AS46" s="225">
        <f t="shared" si="111"/>
        <v>4.8238460153898917</v>
      </c>
      <c r="AT46" s="225">
        <f t="shared" si="112"/>
        <v>-0.43370376305331027</v>
      </c>
      <c r="AU46" s="225">
        <f t="shared" si="113"/>
        <v>14.371852265834317</v>
      </c>
    </row>
    <row r="47" spans="1:47">
      <c r="A47" t="str">
        <f>$A$11</f>
        <v>Administrative and secretarial occupations</v>
      </c>
      <c r="B47" s="225">
        <f t="shared" si="114"/>
        <v>-1.8594418847171319</v>
      </c>
      <c r="C47" s="225">
        <f t="shared" si="115"/>
        <v>-1.2909668877203799</v>
      </c>
      <c r="D47" s="225">
        <f t="shared" si="116"/>
        <v>-0.50914368021182477</v>
      </c>
      <c r="E47" s="225">
        <f t="shared" si="117"/>
        <v>-3.6595524526493364</v>
      </c>
      <c r="F47" s="225"/>
      <c r="G47" s="225">
        <f t="shared" si="118"/>
        <v>6.6603618636719375E-2</v>
      </c>
      <c r="H47" s="225">
        <f t="shared" si="119"/>
        <v>-2.8135822080758714</v>
      </c>
      <c r="I47" s="225">
        <f t="shared" si="120"/>
        <v>-0.20415079775819689</v>
      </c>
      <c r="J47" s="225">
        <f t="shared" si="121"/>
        <v>-2.951129387197355</v>
      </c>
      <c r="K47" s="225"/>
      <c r="L47" s="225">
        <f t="shared" si="122"/>
        <v>-1.7928382660804125</v>
      </c>
      <c r="M47" s="225">
        <f t="shared" si="123"/>
        <v>-4.1045490957962514</v>
      </c>
      <c r="N47" s="225">
        <f t="shared" si="124"/>
        <v>-0.71329447797002166</v>
      </c>
      <c r="O47" s="225">
        <f t="shared" si="125"/>
        <v>-6.6106818398466913</v>
      </c>
      <c r="Q47" t="str">
        <f>$A$11</f>
        <v>Administrative and secretarial occupations</v>
      </c>
      <c r="R47" s="225">
        <f t="shared" si="126"/>
        <v>7.5889592623015645E-2</v>
      </c>
      <c r="S47" s="225">
        <f t="shared" si="96"/>
        <v>0.39332293114474037</v>
      </c>
      <c r="T47" s="225">
        <f t="shared" si="97"/>
        <v>-0.12031889079248959</v>
      </c>
      <c r="U47" s="225">
        <f t="shared" si="98"/>
        <v>0.34889363297526543</v>
      </c>
      <c r="V47" s="225"/>
      <c r="W47" s="225">
        <f t="shared" si="127"/>
        <v>2.9927291352506593</v>
      </c>
      <c r="X47" s="225">
        <f t="shared" si="99"/>
        <v>0.25390316172245875</v>
      </c>
      <c r="Y47" s="225">
        <f t="shared" si="100"/>
        <v>0.17983633446741065</v>
      </c>
      <c r="Z47" s="225">
        <f t="shared" si="101"/>
        <v>3.4264686314405282</v>
      </c>
      <c r="AA47" s="225"/>
      <c r="AB47" s="225">
        <f t="shared" si="128"/>
        <v>3.068618727873675</v>
      </c>
      <c r="AC47" s="225">
        <f t="shared" si="102"/>
        <v>0.64722609286719912</v>
      </c>
      <c r="AD47" s="225">
        <f t="shared" si="103"/>
        <v>5.9517443674921067E-2</v>
      </c>
      <c r="AE47" s="225">
        <f t="shared" si="104"/>
        <v>3.7753622644157936</v>
      </c>
      <c r="AG47" t="str">
        <f>$A$11</f>
        <v>Administrative and secretarial occupations</v>
      </c>
      <c r="AH47" s="225">
        <f t="shared" si="129"/>
        <v>-1.935331477340128</v>
      </c>
      <c r="AI47" s="225">
        <f t="shared" si="105"/>
        <v>-1.6842898188651247</v>
      </c>
      <c r="AJ47" s="225">
        <f t="shared" si="106"/>
        <v>-0.38882478941933507</v>
      </c>
      <c r="AK47" s="225">
        <f t="shared" si="107"/>
        <v>-4.0084460856245911</v>
      </c>
      <c r="AL47" s="225"/>
      <c r="AM47" s="225">
        <f t="shared" si="130"/>
        <v>-2.926125516613947</v>
      </c>
      <c r="AN47" s="225">
        <f t="shared" si="108"/>
        <v>-3.0674853697983124</v>
      </c>
      <c r="AO47" s="225">
        <f t="shared" si="109"/>
        <v>-0.38398713222560854</v>
      </c>
      <c r="AP47" s="225">
        <f>AU11-AP11</f>
        <v>-6.3775980186378689</v>
      </c>
      <c r="AQ47" s="225"/>
      <c r="AR47" s="225">
        <f t="shared" si="131"/>
        <v>-4.861456993954075</v>
      </c>
      <c r="AS47" s="225">
        <f t="shared" si="111"/>
        <v>-4.7517751886634372</v>
      </c>
      <c r="AT47" s="225">
        <f t="shared" si="112"/>
        <v>-0.77281192164494361</v>
      </c>
      <c r="AU47" s="225">
        <f t="shared" si="113"/>
        <v>-10.38604410426246</v>
      </c>
    </row>
    <row r="48" spans="1:47">
      <c r="A48" t="str">
        <f>$A$12</f>
        <v>Skilled trades occupations</v>
      </c>
      <c r="B48" s="225">
        <f t="shared" si="114"/>
        <v>-9.5306454039218984</v>
      </c>
      <c r="C48" s="225">
        <f t="shared" si="115"/>
        <v>-0.83227345716591028</v>
      </c>
      <c r="D48" s="225">
        <f t="shared" si="116"/>
        <v>1.2970381652104859</v>
      </c>
      <c r="E48" s="225">
        <f t="shared" si="117"/>
        <v>-9.0658806958773255</v>
      </c>
      <c r="F48" s="225"/>
      <c r="G48" s="225">
        <f t="shared" si="118"/>
        <v>-6.4746971598027834</v>
      </c>
      <c r="H48" s="225">
        <f t="shared" si="119"/>
        <v>0.74480451899973943</v>
      </c>
      <c r="I48" s="225">
        <f t="shared" si="120"/>
        <v>0.25996926950360333</v>
      </c>
      <c r="J48" s="225">
        <f t="shared" si="121"/>
        <v>-5.4699233712994371</v>
      </c>
      <c r="K48" s="225"/>
      <c r="L48" s="225">
        <f t="shared" si="122"/>
        <v>-16.005342563724682</v>
      </c>
      <c r="M48" s="225">
        <f t="shared" si="123"/>
        <v>-8.7468938166170851E-2</v>
      </c>
      <c r="N48" s="225">
        <f t="shared" si="124"/>
        <v>1.5570074347140892</v>
      </c>
      <c r="O48" s="225">
        <f t="shared" si="125"/>
        <v>-14.535804067176763</v>
      </c>
      <c r="Q48" t="str">
        <f>$A$12</f>
        <v>Skilled trades occupations</v>
      </c>
      <c r="R48" s="225">
        <f t="shared" si="126"/>
        <v>-9.6148542367552743</v>
      </c>
      <c r="S48" s="225">
        <f t="shared" si="96"/>
        <v>-0.71721479826438816</v>
      </c>
      <c r="T48" s="225">
        <f t="shared" si="97"/>
        <v>1.1250621808404517</v>
      </c>
      <c r="U48" s="225">
        <f t="shared" si="98"/>
        <v>-9.2070068541792125</v>
      </c>
      <c r="V48" s="225"/>
      <c r="W48" s="225">
        <f t="shared" si="127"/>
        <v>-6.5724706590823061</v>
      </c>
      <c r="X48" s="225">
        <f t="shared" si="99"/>
        <v>0.64791847361142718</v>
      </c>
      <c r="Y48" s="225">
        <f t="shared" si="100"/>
        <v>5.6656270963379995E-2</v>
      </c>
      <c r="Z48" s="225">
        <f t="shared" si="101"/>
        <v>-5.8678959145074998</v>
      </c>
      <c r="AA48" s="225"/>
      <c r="AB48" s="225">
        <f t="shared" si="128"/>
        <v>-16.18732489583758</v>
      </c>
      <c r="AC48" s="225">
        <f t="shared" si="102"/>
        <v>-6.9296324652960983E-2</v>
      </c>
      <c r="AD48" s="225">
        <f t="shared" si="103"/>
        <v>1.1817184518038317</v>
      </c>
      <c r="AE48" s="225">
        <f t="shared" si="104"/>
        <v>-15.074902768686712</v>
      </c>
      <c r="AG48" t="str">
        <f>$A$12</f>
        <v>Skilled trades occupations</v>
      </c>
      <c r="AH48" s="225">
        <f t="shared" si="129"/>
        <v>8.4208832833365221E-2</v>
      </c>
      <c r="AI48" s="225">
        <f t="shared" si="105"/>
        <v>-0.11505865890152256</v>
      </c>
      <c r="AJ48" s="225">
        <f t="shared" si="106"/>
        <v>0.17197598437001926</v>
      </c>
      <c r="AK48" s="225">
        <f t="shared" si="107"/>
        <v>0.14112615830186215</v>
      </c>
      <c r="AL48" s="225"/>
      <c r="AM48" s="225">
        <f t="shared" si="130"/>
        <v>9.7773499279538045E-2</v>
      </c>
      <c r="AN48" s="225">
        <f t="shared" si="108"/>
        <v>9.688604538831358E-2</v>
      </c>
      <c r="AO48" s="225">
        <f t="shared" si="109"/>
        <v>0.20331299854023688</v>
      </c>
      <c r="AP48" s="225">
        <f t="shared" si="110"/>
        <v>0.3979725432080885</v>
      </c>
      <c r="AQ48" s="225"/>
      <c r="AR48" s="225">
        <f t="shared" si="131"/>
        <v>0.18198233211290327</v>
      </c>
      <c r="AS48" s="225">
        <f t="shared" si="111"/>
        <v>-1.8172613513208979E-2</v>
      </c>
      <c r="AT48" s="225">
        <f t="shared" si="112"/>
        <v>0.37528898291025614</v>
      </c>
      <c r="AU48" s="225">
        <f t="shared" si="113"/>
        <v>0.53909870150995065</v>
      </c>
    </row>
    <row r="49" spans="1:47">
      <c r="A49" t="str">
        <f>$A$13</f>
        <v>Caring, leisure and other service occupations</v>
      </c>
      <c r="B49" s="225">
        <f t="shared" si="114"/>
        <v>-0.19376140039817713</v>
      </c>
      <c r="C49" s="225">
        <f t="shared" si="115"/>
        <v>-0.22036332791271107</v>
      </c>
      <c r="D49" s="225">
        <f t="shared" si="116"/>
        <v>-0.72611147424120981</v>
      </c>
      <c r="E49" s="225">
        <f t="shared" si="117"/>
        <v>-1.1402362025520958</v>
      </c>
      <c r="F49" s="225"/>
      <c r="G49" s="225">
        <f t="shared" si="118"/>
        <v>3.7193266142925658</v>
      </c>
      <c r="H49" s="225">
        <f t="shared" si="119"/>
        <v>-9.1719547650075839E-2</v>
      </c>
      <c r="I49" s="225">
        <f t="shared" si="120"/>
        <v>0.95412783797023559</v>
      </c>
      <c r="J49" s="225">
        <f t="shared" si="121"/>
        <v>4.5817349046127234</v>
      </c>
      <c r="K49" s="225"/>
      <c r="L49" s="225">
        <f t="shared" si="122"/>
        <v>3.5255652138943887</v>
      </c>
      <c r="M49" s="225">
        <f t="shared" si="123"/>
        <v>-0.31208287556278691</v>
      </c>
      <c r="N49" s="225">
        <f t="shared" si="124"/>
        <v>0.22801636372902578</v>
      </c>
      <c r="O49" s="225">
        <f t="shared" si="125"/>
        <v>3.4414987020606276</v>
      </c>
      <c r="Q49" t="str">
        <f>$A$13</f>
        <v>Caring, leisure and other service occupations</v>
      </c>
      <c r="R49" s="225">
        <f t="shared" si="126"/>
        <v>-0.47755884122699399</v>
      </c>
      <c r="S49" s="225">
        <f t="shared" si="96"/>
        <v>0.18854005351584835</v>
      </c>
      <c r="T49" s="225">
        <f t="shared" si="97"/>
        <v>-1.0672236696190662E-2</v>
      </c>
      <c r="U49" s="225">
        <f t="shared" si="98"/>
        <v>-0.29969102440733586</v>
      </c>
      <c r="V49" s="225"/>
      <c r="W49" s="225">
        <f t="shared" si="127"/>
        <v>0.3660665478455476</v>
      </c>
      <c r="X49" s="225">
        <f t="shared" si="99"/>
        <v>0.62380185720708781</v>
      </c>
      <c r="Y49" s="225">
        <f t="shared" si="100"/>
        <v>0.33063963625570436</v>
      </c>
      <c r="Z49" s="225">
        <f t="shared" si="101"/>
        <v>1.3205080413083401</v>
      </c>
      <c r="AA49" s="225"/>
      <c r="AB49" s="225">
        <f t="shared" si="128"/>
        <v>-0.11149229338144639</v>
      </c>
      <c r="AC49" s="225">
        <f t="shared" si="102"/>
        <v>0.81234191072293616</v>
      </c>
      <c r="AD49" s="225">
        <f t="shared" si="103"/>
        <v>0.3199673995595137</v>
      </c>
      <c r="AE49" s="225">
        <f t="shared" si="104"/>
        <v>1.0208170169010042</v>
      </c>
      <c r="AG49" t="str">
        <f>$A$13</f>
        <v>Caring, leisure and other service occupations</v>
      </c>
      <c r="AH49" s="225">
        <f t="shared" si="129"/>
        <v>0.28379744082881331</v>
      </c>
      <c r="AI49" s="225">
        <f t="shared" si="105"/>
        <v>-0.40890338142855498</v>
      </c>
      <c r="AJ49" s="225">
        <f t="shared" si="106"/>
        <v>-0.71543923754502048</v>
      </c>
      <c r="AK49" s="225">
        <f t="shared" si="107"/>
        <v>-0.84054517814475815</v>
      </c>
      <c r="AL49" s="225"/>
      <c r="AM49" s="225">
        <f t="shared" si="130"/>
        <v>3.353260066447028</v>
      </c>
      <c r="AN49" s="225">
        <f t="shared" si="108"/>
        <v>-0.71552140485717075</v>
      </c>
      <c r="AO49" s="225">
        <f t="shared" si="109"/>
        <v>0.62348820171453267</v>
      </c>
      <c r="AP49" s="225">
        <f t="shared" si="110"/>
        <v>3.2612268633043797</v>
      </c>
      <c r="AQ49" s="225"/>
      <c r="AR49" s="225">
        <f t="shared" si="131"/>
        <v>3.6370575072758413</v>
      </c>
      <c r="AS49" s="225">
        <f t="shared" si="111"/>
        <v>-1.1244247862857257</v>
      </c>
      <c r="AT49" s="225">
        <f t="shared" si="112"/>
        <v>-9.1951035830487804E-2</v>
      </c>
      <c r="AU49" s="225">
        <f t="shared" si="113"/>
        <v>2.4206816851596216</v>
      </c>
    </row>
    <row r="50" spans="1:47">
      <c r="A50" t="str">
        <f>$A$14</f>
        <v>Sales and customer service occupations</v>
      </c>
      <c r="B50" s="225">
        <f t="shared" si="114"/>
        <v>-1.7189226356648071</v>
      </c>
      <c r="C50" s="225">
        <f t="shared" si="115"/>
        <v>-1.3189886828731083</v>
      </c>
      <c r="D50" s="225">
        <f t="shared" si="116"/>
        <v>-0.93479358275923263</v>
      </c>
      <c r="E50" s="225">
        <f t="shared" si="117"/>
        <v>-3.9727049012971491</v>
      </c>
      <c r="F50" s="225"/>
      <c r="G50" s="225">
        <f t="shared" si="118"/>
        <v>-4.1340045046158735E-2</v>
      </c>
      <c r="H50" s="225">
        <f t="shared" si="119"/>
        <v>8.9791488116198082E-2</v>
      </c>
      <c r="I50" s="225">
        <f t="shared" si="120"/>
        <v>-0.30715457981355176</v>
      </c>
      <c r="J50" s="225">
        <f t="shared" si="121"/>
        <v>-0.25870313674351308</v>
      </c>
      <c r="K50" s="225"/>
      <c r="L50" s="225">
        <f t="shared" si="122"/>
        <v>-1.7602626807109658</v>
      </c>
      <c r="M50" s="225">
        <f t="shared" si="123"/>
        <v>-1.2291971947569102</v>
      </c>
      <c r="N50" s="225">
        <f t="shared" si="124"/>
        <v>-1.2419481625727844</v>
      </c>
      <c r="O50" s="225">
        <f t="shared" si="125"/>
        <v>-4.2314080380406622</v>
      </c>
      <c r="Q50" t="str">
        <f>$A$14</f>
        <v>Sales and customer service occupations</v>
      </c>
      <c r="R50" s="225">
        <f t="shared" si="126"/>
        <v>-0.94403576315206905</v>
      </c>
      <c r="S50" s="225">
        <f t="shared" si="96"/>
        <v>0.63881612400949805</v>
      </c>
      <c r="T50" s="225">
        <f t="shared" si="97"/>
        <v>-0.67253386576295293</v>
      </c>
      <c r="U50" s="225">
        <f t="shared" si="98"/>
        <v>-0.97775350490552526</v>
      </c>
      <c r="V50" s="225"/>
      <c r="W50" s="225">
        <f t="shared" si="127"/>
        <v>0.46831890934405607</v>
      </c>
      <c r="X50" s="225">
        <f t="shared" si="99"/>
        <v>0.69911211735735002</v>
      </c>
      <c r="Y50" s="225">
        <f t="shared" si="100"/>
        <v>-0.11036663424677862</v>
      </c>
      <c r="Z50" s="225">
        <f t="shared" si="101"/>
        <v>1.0570643924546239</v>
      </c>
      <c r="AA50" s="225"/>
      <c r="AB50" s="225">
        <f t="shared" si="128"/>
        <v>-0.47571685380801298</v>
      </c>
      <c r="AC50" s="225">
        <f t="shared" si="102"/>
        <v>1.3379282413668481</v>
      </c>
      <c r="AD50" s="225">
        <f t="shared" si="103"/>
        <v>-0.78290050000973155</v>
      </c>
      <c r="AE50" s="225">
        <f t="shared" si="104"/>
        <v>7.9310887549098652E-2</v>
      </c>
      <c r="AG50" t="str">
        <f>$A$14</f>
        <v>Sales and customer service occupations</v>
      </c>
      <c r="AH50" s="225">
        <f t="shared" si="129"/>
        <v>-0.77488687251273713</v>
      </c>
      <c r="AI50" s="225">
        <f t="shared" si="105"/>
        <v>-1.9578048068826028</v>
      </c>
      <c r="AJ50" s="225">
        <f t="shared" si="106"/>
        <v>-0.2622597169962797</v>
      </c>
      <c r="AK50" s="225">
        <f t="shared" si="107"/>
        <v>-2.9949513963916203</v>
      </c>
      <c r="AL50" s="225"/>
      <c r="AM50" s="225">
        <f t="shared" si="130"/>
        <v>-0.50965895439022812</v>
      </c>
      <c r="AN50" s="225">
        <f t="shared" si="108"/>
        <v>-0.60932062924115726</v>
      </c>
      <c r="AO50" s="225">
        <f t="shared" si="109"/>
        <v>-0.19678794556677326</v>
      </c>
      <c r="AP50" s="225">
        <f t="shared" si="110"/>
        <v>-1.3157675291981583</v>
      </c>
      <c r="AQ50" s="225"/>
      <c r="AR50" s="225">
        <f t="shared" si="131"/>
        <v>-1.2845458269029653</v>
      </c>
      <c r="AS50" s="225">
        <f t="shared" si="111"/>
        <v>-2.5671254361237601</v>
      </c>
      <c r="AT50" s="225">
        <f t="shared" si="112"/>
        <v>-0.45904766256305296</v>
      </c>
      <c r="AU50" s="225">
        <f t="shared" si="113"/>
        <v>-4.3107189255897786</v>
      </c>
    </row>
    <row r="51" spans="1:47">
      <c r="A51" t="str">
        <f>$A$15</f>
        <v>Process, plant and machine operatives</v>
      </c>
      <c r="B51" s="225">
        <f t="shared" si="114"/>
        <v>-8.8452585251113014</v>
      </c>
      <c r="C51" s="225">
        <f t="shared" si="115"/>
        <v>1.4210613330080548</v>
      </c>
      <c r="D51" s="225">
        <f t="shared" si="116"/>
        <v>0.64188743832420414</v>
      </c>
      <c r="E51" s="225">
        <f t="shared" si="117"/>
        <v>-6.782309753779046</v>
      </c>
      <c r="F51" s="225"/>
      <c r="G51" s="225">
        <f t="shared" si="118"/>
        <v>-2.5516931772907938</v>
      </c>
      <c r="H51" s="225">
        <f t="shared" si="119"/>
        <v>1.0012849937463946</v>
      </c>
      <c r="I51" s="225">
        <f t="shared" si="120"/>
        <v>1.3917716101557138</v>
      </c>
      <c r="J51" s="225">
        <f t="shared" si="121"/>
        <v>-0.15863657338868364</v>
      </c>
      <c r="K51" s="225"/>
      <c r="L51" s="225">
        <f t="shared" si="122"/>
        <v>-11.396951702402095</v>
      </c>
      <c r="M51" s="225">
        <f t="shared" si="123"/>
        <v>2.4223463267544494</v>
      </c>
      <c r="N51" s="225">
        <f t="shared" si="124"/>
        <v>2.033659048479918</v>
      </c>
      <c r="O51" s="225">
        <f t="shared" si="125"/>
        <v>-6.9409463271677296</v>
      </c>
      <c r="Q51" t="str">
        <f>$A$15</f>
        <v>Process, plant and machine operatives</v>
      </c>
      <c r="R51" s="225">
        <f t="shared" si="126"/>
        <v>-8.0654951051448229</v>
      </c>
      <c r="S51" s="225">
        <f t="shared" si="96"/>
        <v>1.3223223344271537</v>
      </c>
      <c r="T51" s="225">
        <f t="shared" si="97"/>
        <v>0.51081069512312904</v>
      </c>
      <c r="U51" s="225">
        <f t="shared" si="98"/>
        <v>-6.232362075594537</v>
      </c>
      <c r="V51" s="225"/>
      <c r="W51" s="225">
        <f t="shared" si="127"/>
        <v>-2.9855757617191117</v>
      </c>
      <c r="X51" s="225">
        <f t="shared" si="99"/>
        <v>0.39472990761069937</v>
      </c>
      <c r="Y51" s="225">
        <f t="shared" si="100"/>
        <v>1.3067029348650028</v>
      </c>
      <c r="Z51" s="225">
        <f t="shared" si="101"/>
        <v>-1.2841429192434148</v>
      </c>
      <c r="AA51" s="225"/>
      <c r="AB51" s="225">
        <f t="shared" si="128"/>
        <v>-11.051070866863935</v>
      </c>
      <c r="AC51" s="225">
        <f t="shared" si="102"/>
        <v>1.7170522420378531</v>
      </c>
      <c r="AD51" s="225">
        <f t="shared" si="103"/>
        <v>1.8175136299881318</v>
      </c>
      <c r="AE51" s="225">
        <f t="shared" si="104"/>
        <v>-7.5165049948379519</v>
      </c>
      <c r="AG51" t="str">
        <f>$A$15</f>
        <v>Process, plant and machine operatives</v>
      </c>
      <c r="AH51" s="225">
        <f t="shared" si="129"/>
        <v>-0.77976341996649357</v>
      </c>
      <c r="AI51" s="225">
        <f t="shared" si="105"/>
        <v>9.8738998580908399E-2</v>
      </c>
      <c r="AJ51" s="225">
        <f t="shared" si="106"/>
        <v>0.13107674320107299</v>
      </c>
      <c r="AK51" s="225">
        <f t="shared" si="107"/>
        <v>-0.54994767818451162</v>
      </c>
      <c r="AL51" s="225"/>
      <c r="AM51" s="225">
        <f t="shared" si="130"/>
        <v>0.43388258442831473</v>
      </c>
      <c r="AN51" s="225">
        <f t="shared" si="108"/>
        <v>0.60655508613569475</v>
      </c>
      <c r="AO51" s="225">
        <f t="shared" si="109"/>
        <v>8.5068675290709217E-2</v>
      </c>
      <c r="AP51" s="225">
        <f t="shared" si="110"/>
        <v>1.1255063458547179</v>
      </c>
      <c r="AQ51" s="225"/>
      <c r="AR51" s="225">
        <f t="shared" si="131"/>
        <v>-0.34588083553817883</v>
      </c>
      <c r="AS51" s="225">
        <f t="shared" si="111"/>
        <v>0.70529408471660315</v>
      </c>
      <c r="AT51" s="225">
        <f t="shared" si="112"/>
        <v>0.2161454184917822</v>
      </c>
      <c r="AU51" s="225">
        <f t="shared" si="113"/>
        <v>0.57555866767020625</v>
      </c>
    </row>
    <row r="52" spans="1:47">
      <c r="A52" t="str">
        <f>$A$16</f>
        <v>Elementary occupations</v>
      </c>
      <c r="B52" s="225">
        <f t="shared" si="114"/>
        <v>-6.0114627978573587</v>
      </c>
      <c r="C52" s="225">
        <f t="shared" si="115"/>
        <v>-3.7990547743984031</v>
      </c>
      <c r="D52" s="225">
        <f t="shared" si="116"/>
        <v>-0.86258753970719138</v>
      </c>
      <c r="E52" s="225">
        <f t="shared" si="117"/>
        <v>-10.673105111962954</v>
      </c>
      <c r="F52" s="225"/>
      <c r="G52" s="225">
        <f t="shared" si="118"/>
        <v>1.5204050521774874</v>
      </c>
      <c r="H52" s="225">
        <f t="shared" si="119"/>
        <v>-3.1621975121292323</v>
      </c>
      <c r="I52" s="225">
        <f t="shared" si="120"/>
        <v>1.332911329198665</v>
      </c>
      <c r="J52" s="225">
        <f t="shared" si="121"/>
        <v>-0.30888113075307899</v>
      </c>
      <c r="K52" s="225"/>
      <c r="L52" s="225">
        <f t="shared" si="122"/>
        <v>-4.4910577456798713</v>
      </c>
      <c r="M52" s="225">
        <f t="shared" si="123"/>
        <v>-6.9612522865276354</v>
      </c>
      <c r="N52" s="225">
        <f t="shared" si="124"/>
        <v>0.47032378949147358</v>
      </c>
      <c r="O52" s="225">
        <f t="shared" si="125"/>
        <v>-10.981986242716033</v>
      </c>
      <c r="Q52" t="str">
        <f>$A$16</f>
        <v>Elementary occupations</v>
      </c>
      <c r="R52" s="225">
        <f t="shared" si="126"/>
        <v>-5.0496506061793625</v>
      </c>
      <c r="S52" s="225">
        <f t="shared" si="96"/>
        <v>-1.3227145648556311</v>
      </c>
      <c r="T52" s="225">
        <f t="shared" si="97"/>
        <v>-0.42823314484909236</v>
      </c>
      <c r="U52" s="225">
        <f t="shared" si="98"/>
        <v>-6.8005983158840841</v>
      </c>
      <c r="V52" s="225"/>
      <c r="W52" s="225">
        <f t="shared" si="127"/>
        <v>1.0460283383840085</v>
      </c>
      <c r="X52" s="225">
        <f t="shared" si="99"/>
        <v>-1.0401526223212283</v>
      </c>
      <c r="Y52" s="225">
        <f t="shared" si="100"/>
        <v>0.70326232838339653</v>
      </c>
      <c r="Z52" s="225">
        <f t="shared" si="101"/>
        <v>0.70913804444617767</v>
      </c>
      <c r="AA52" s="225"/>
      <c r="AB52" s="225">
        <f t="shared" si="128"/>
        <v>-4.0036222677953539</v>
      </c>
      <c r="AC52" s="225">
        <f t="shared" si="102"/>
        <v>-2.3628671871768594</v>
      </c>
      <c r="AD52" s="225">
        <f t="shared" si="103"/>
        <v>0.27502918353430417</v>
      </c>
      <c r="AE52" s="225">
        <f t="shared" si="104"/>
        <v>-6.0914602714379065</v>
      </c>
      <c r="AG52" t="str">
        <f>$A$16</f>
        <v>Elementary occupations</v>
      </c>
      <c r="AH52" s="225">
        <f t="shared" si="129"/>
        <v>-0.96181219167801579</v>
      </c>
      <c r="AI52" s="225">
        <f t="shared" si="105"/>
        <v>-2.4763402095427569</v>
      </c>
      <c r="AJ52" s="225">
        <f t="shared" si="106"/>
        <v>-0.43435439485809813</v>
      </c>
      <c r="AK52" s="225">
        <f t="shared" si="107"/>
        <v>-3.8725067960788735</v>
      </c>
      <c r="AL52" s="225"/>
      <c r="AM52" s="225">
        <f t="shared" si="130"/>
        <v>0.474376713793494</v>
      </c>
      <c r="AN52" s="225">
        <f t="shared" si="108"/>
        <v>-2.1220448898079951</v>
      </c>
      <c r="AO52" s="225">
        <f t="shared" si="109"/>
        <v>0.62964900081526665</v>
      </c>
      <c r="AP52" s="225">
        <f t="shared" si="110"/>
        <v>-1.0180191751992318</v>
      </c>
      <c r="AQ52" s="225"/>
      <c r="AR52" s="225">
        <f t="shared" si="131"/>
        <v>-0.4874354778845218</v>
      </c>
      <c r="AS52" s="225">
        <f t="shared" si="111"/>
        <v>-4.598385099350752</v>
      </c>
      <c r="AT52" s="225">
        <f t="shared" si="112"/>
        <v>0.19529460595716852</v>
      </c>
      <c r="AU52" s="225">
        <f t="shared" si="113"/>
        <v>-4.8905259712781053</v>
      </c>
    </row>
    <row r="53" spans="1:47">
      <c r="B53" s="225"/>
      <c r="C53" s="225"/>
      <c r="D53" s="225"/>
      <c r="E53" s="225"/>
      <c r="F53" s="225"/>
      <c r="G53" s="225"/>
      <c r="H53" s="225"/>
      <c r="I53" s="225"/>
      <c r="J53" s="225"/>
      <c r="K53" s="225"/>
      <c r="L53" s="225"/>
      <c r="M53" s="225"/>
      <c r="N53" s="225"/>
      <c r="O53" s="225"/>
      <c r="R53" s="225"/>
      <c r="S53" s="225"/>
      <c r="T53" s="225"/>
      <c r="U53" s="225"/>
      <c r="V53" s="225"/>
      <c r="W53" s="225"/>
      <c r="X53" s="225"/>
      <c r="Y53" s="225"/>
      <c r="Z53" s="225"/>
      <c r="AA53" s="225"/>
      <c r="AB53" s="225"/>
      <c r="AC53" s="225"/>
      <c r="AD53" s="225"/>
      <c r="AE53" s="225"/>
      <c r="AH53" s="225"/>
      <c r="AI53" s="225"/>
      <c r="AJ53" s="225"/>
      <c r="AK53" s="225"/>
      <c r="AL53" s="225"/>
      <c r="AM53" s="225"/>
      <c r="AN53" s="225"/>
      <c r="AO53" s="225"/>
      <c r="AP53" s="225"/>
      <c r="AQ53" s="225"/>
      <c r="AR53" s="225"/>
      <c r="AS53" s="225"/>
      <c r="AT53" s="225"/>
      <c r="AU53" s="225"/>
    </row>
    <row r="54" spans="1:47">
      <c r="A54" s="22" t="str">
        <f>$A$18</f>
        <v>All occupations</v>
      </c>
      <c r="B54" s="362">
        <f t="shared" si="114"/>
        <v>-12.592588869497888</v>
      </c>
      <c r="C54" s="362">
        <f t="shared" si="115"/>
        <v>2.7438885532994846</v>
      </c>
      <c r="D54" s="362">
        <f t="shared" si="116"/>
        <v>0.48070031619836584</v>
      </c>
      <c r="E54" s="362">
        <f t="shared" si="117"/>
        <v>-9.367999999999995</v>
      </c>
      <c r="F54" s="362"/>
      <c r="G54" s="362">
        <f t="shared" si="118"/>
        <v>16.705737561095077</v>
      </c>
      <c r="H54" s="362">
        <f t="shared" si="119"/>
        <v>5.4414372902022876</v>
      </c>
      <c r="I54" s="362">
        <f t="shared" si="120"/>
        <v>3.6028251487023084</v>
      </c>
      <c r="J54" s="362">
        <f t="shared" si="121"/>
        <v>25.749999999999602</v>
      </c>
      <c r="K54" s="362"/>
      <c r="L54" s="362">
        <f t="shared" si="122"/>
        <v>4.1131486915971891</v>
      </c>
      <c r="M54" s="362">
        <f t="shared" si="123"/>
        <v>8.1853258435017722</v>
      </c>
      <c r="N54" s="362">
        <f t="shared" si="124"/>
        <v>4.0835254649006743</v>
      </c>
      <c r="O54" s="362">
        <f t="shared" si="125"/>
        <v>16.381999999999607</v>
      </c>
      <c r="Q54" s="22" t="str">
        <f>$A$18</f>
        <v>All occupations</v>
      </c>
      <c r="R54" s="362">
        <f t="shared" ref="R54" si="132">W18-R18</f>
        <v>-18.751652551301788</v>
      </c>
      <c r="S54" s="362">
        <f t="shared" ref="S54" si="133">X18-S18</f>
        <v>3.8862133393376013</v>
      </c>
      <c r="T54" s="362">
        <f t="shared" ref="T54" si="134">Y18-T18</f>
        <v>1.4918411409298145</v>
      </c>
      <c r="U54" s="362">
        <f t="shared" ref="U54" si="135">Z18-U18</f>
        <v>-13.373598071034394</v>
      </c>
      <c r="V54" s="362"/>
      <c r="W54" s="362">
        <f t="shared" ref="W54" si="136">AB18-W18</f>
        <v>2.3658431647117766</v>
      </c>
      <c r="X54" s="362">
        <f t="shared" ref="X54" si="137">AC18-X18</f>
        <v>3.7626028731068786</v>
      </c>
      <c r="Y54" s="362">
        <f t="shared" ref="Y54" si="138">AD18-Y18</f>
        <v>2.2166175641736245</v>
      </c>
      <c r="Z54" s="362">
        <f t="shared" ref="Z54" si="139">AE18-Z18</f>
        <v>8.3450636019923081</v>
      </c>
      <c r="AA54" s="362"/>
      <c r="AB54" s="362">
        <f t="shared" ref="AB54" si="140">AB18-R18</f>
        <v>-16.385809386590012</v>
      </c>
      <c r="AC54" s="362">
        <f t="shared" ref="AC54" si="141">AC18-S18</f>
        <v>7.6488162124444798</v>
      </c>
      <c r="AD54" s="362">
        <f t="shared" ref="AD54" si="142">AD18-T18</f>
        <v>3.708458705103439</v>
      </c>
      <c r="AE54" s="362">
        <f t="shared" ref="AE54" si="143">AE18-U18</f>
        <v>-5.0285344690420857</v>
      </c>
      <c r="AG54" s="22" t="str">
        <f>$A$18</f>
        <v>All occupations</v>
      </c>
      <c r="AH54" s="362">
        <f t="shared" ref="AH54" si="144">AM18-AH18</f>
        <v>6.159063681803886</v>
      </c>
      <c r="AI54" s="362">
        <f t="shared" ref="AI54" si="145">AN18-AI18</f>
        <v>-1.1423247860380883</v>
      </c>
      <c r="AJ54" s="362">
        <f t="shared" ref="AJ54" si="146">AO18-AJ18</f>
        <v>-1.0111408247314806</v>
      </c>
      <c r="AK54" s="362">
        <f t="shared" ref="AK54" si="147">AP18-AK18</f>
        <v>4.0055980710343135</v>
      </c>
      <c r="AL54" s="362"/>
      <c r="AM54" s="362">
        <f t="shared" ref="AM54" si="148">AR18-AM18</f>
        <v>14.339894396383357</v>
      </c>
      <c r="AN54" s="362">
        <f t="shared" ref="AN54" si="149">AS18-AN18</f>
        <v>1.6788344170954161</v>
      </c>
      <c r="AO54" s="362">
        <f t="shared" ref="AO54" si="150">AT18-AO18</f>
        <v>1.3862075845286981</v>
      </c>
      <c r="AP54" s="362">
        <f t="shared" ref="AP54" si="151">AU18-AP18</f>
        <v>17.404936398007465</v>
      </c>
      <c r="AQ54" s="362"/>
      <c r="AR54" s="362">
        <f t="shared" ref="AR54" si="152">AR18-AH18</f>
        <v>20.498958078187243</v>
      </c>
      <c r="AS54" s="362">
        <f t="shared" ref="AS54" si="153">AS18-AI18</f>
        <v>0.53650963105732785</v>
      </c>
      <c r="AT54" s="362">
        <f t="shared" ref="AT54" si="154">AT18-AJ18</f>
        <v>0.37506675979721749</v>
      </c>
      <c r="AU54" s="362">
        <f t="shared" ref="AU54" si="155">AU18-AK18</f>
        <v>21.410534469041778</v>
      </c>
    </row>
  </sheetData>
  <mergeCells count="27">
    <mergeCell ref="AB5:AE5"/>
    <mergeCell ref="R23:U23"/>
    <mergeCell ref="W23:Z23"/>
    <mergeCell ref="AB23:AE23"/>
    <mergeCell ref="R41: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H41:AK41"/>
    <mergeCell ref="W41:Z41"/>
    <mergeCell ref="AB41:AE41"/>
    <mergeCell ref="AM41:AP41"/>
    <mergeCell ref="AR41:AU41"/>
    <mergeCell ref="AH5:AK5"/>
    <mergeCell ref="AM5:AP5"/>
    <mergeCell ref="AR5:AU5"/>
    <mergeCell ref="AH23:AK23"/>
    <mergeCell ref="AM23:AP23"/>
    <mergeCell ref="AR23:AU23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/>
  <cols>
    <col min="1" max="1" width="11" style="138" bestFit="1" customWidth="1"/>
    <col min="2" max="9" width="9.140625" style="138"/>
    <col min="10" max="10" width="17.5703125" style="138" customWidth="1"/>
    <col min="11" max="11" width="8.28515625" style="138" customWidth="1"/>
    <col min="12" max="12" width="52.7109375" style="73" customWidth="1"/>
    <col min="13" max="14" width="10.140625" style="73" customWidth="1"/>
    <col min="15" max="16384" width="9.140625" style="73"/>
  </cols>
  <sheetData>
    <row r="1" spans="1:14" ht="15.75">
      <c r="A1" s="137" t="str">
        <f>CONCATENATE("Occupation Figure 1  Growth in Employment by Occupation (SOC 2020), ",M6," and ",N6,", ",Info!B5)</f>
        <v>Occupation Figure 1  Growth in Employment by Occupation (SOC 2020), 2015-2020 and 2020-2035, Black Country</v>
      </c>
    </row>
    <row r="2" spans="1:14">
      <c r="A2" s="335" t="s">
        <v>163</v>
      </c>
    </row>
    <row r="3" spans="1:14">
      <c r="L3" s="139" t="s">
        <v>166</v>
      </c>
    </row>
    <row r="5" spans="1:14">
      <c r="L5" s="104" t="s">
        <v>167</v>
      </c>
    </row>
    <row r="6" spans="1:14">
      <c r="M6" s="155" t="str">
        <f>'Occ T2'!H151</f>
        <v>2015-2020</v>
      </c>
      <c r="N6" s="155" t="str">
        <f>'Occ T2'!I151</f>
        <v>2020-2035</v>
      </c>
    </row>
    <row r="7" spans="1:14">
      <c r="L7" s="96" t="str">
        <f>'Occ T3'!A51</f>
        <v>All occupations</v>
      </c>
      <c r="M7" s="73">
        <f>'Occ T2'!H180</f>
        <v>-0.37337526450478276</v>
      </c>
      <c r="N7" s="73">
        <f>'Occ T2'!I180</f>
        <v>0.33785827979151417</v>
      </c>
    </row>
    <row r="8" spans="1:14">
      <c r="L8" s="96"/>
    </row>
    <row r="9" spans="1:14">
      <c r="L9" s="73" t="str">
        <f>'Occ T3'!A49</f>
        <v>92 Elementary administration and service occupations</v>
      </c>
      <c r="M9" s="73">
        <f>'Occ T2'!H178</f>
        <v>-3.6852004087132739</v>
      </c>
      <c r="N9" s="73">
        <f>'Occ T2'!I178</f>
        <v>-1.6241007083510617</v>
      </c>
    </row>
    <row r="10" spans="1:14">
      <c r="L10" s="73" t="str">
        <f>'Occ T3'!A48</f>
        <v>91 Elementary trades and related occupations</v>
      </c>
      <c r="M10" s="73">
        <f>'Occ T2'!H177</f>
        <v>-5.6300457870917864</v>
      </c>
      <c r="N10" s="73">
        <f>'Occ T2'!I177</f>
        <v>4.4400691329606889</v>
      </c>
    </row>
    <row r="11" spans="1:14">
      <c r="L11" s="96" t="str">
        <f>"["&amp;'Occ T3'!A47&amp;"]"</f>
        <v>[Elementary occupations]</v>
      </c>
      <c r="M11" s="73">
        <f>'Occ T1'!H88</f>
        <v>-4.06488694397712</v>
      </c>
      <c r="N11" s="73">
        <f>'Occ T1'!I88</f>
        <v>-4.462711763347782E-2</v>
      </c>
    </row>
    <row r="12" spans="1:14">
      <c r="L12" s="96"/>
    </row>
    <row r="13" spans="1:14">
      <c r="L13" s="73" t="str">
        <f>'Occ T3'!A45</f>
        <v>82 Transport and mobile machine drivers and operatives</v>
      </c>
      <c r="M13" s="73">
        <f>'Occ T2'!H176</f>
        <v>-1.8475168186694924</v>
      </c>
      <c r="N13" s="73">
        <f>'Occ T2'!I176</f>
        <v>0.2121973700340174</v>
      </c>
    </row>
    <row r="14" spans="1:14">
      <c r="L14" s="73" t="str">
        <f>'Occ T3'!A44</f>
        <v>81 Process, plant and machine operatives</v>
      </c>
      <c r="M14" s="73">
        <f>'Occ T2'!H175</f>
        <v>-4.3972044343313694</v>
      </c>
      <c r="N14" s="73">
        <f>'Occ T2'!I175</f>
        <v>-0.32216476551590878</v>
      </c>
    </row>
    <row r="15" spans="1:14">
      <c r="L15" s="96" t="str">
        <f>"["&amp;'Occ T3'!A43&amp;"]"</f>
        <v>[Process, plant and machine operatives]</v>
      </c>
      <c r="M15" s="73">
        <f>'Occ T1'!H87</f>
        <v>-3.058986311425782</v>
      </c>
      <c r="N15" s="73">
        <f>'Occ T1'!I87</f>
        <v>-2.6252842027107981E-2</v>
      </c>
    </row>
    <row r="16" spans="1:14">
      <c r="L16" s="96"/>
    </row>
    <row r="17" spans="12:14">
      <c r="L17" s="73" t="str">
        <f>'Occ T3'!A41</f>
        <v>72 Customer service occupations</v>
      </c>
      <c r="M17" s="73">
        <f>'Occ T2'!H174</f>
        <v>3.4363853247398879E-4</v>
      </c>
      <c r="N17" s="73">
        <f>'Occ T2'!I174</f>
        <v>1.4429460177838527</v>
      </c>
    </row>
    <row r="18" spans="12:14">
      <c r="L18" s="73" t="str">
        <f>'Occ T3'!A40</f>
        <v>71 Sales occupations</v>
      </c>
      <c r="M18" s="73">
        <f>'Occ T2'!H173</f>
        <v>-2.4376784598331702</v>
      </c>
      <c r="N18" s="73">
        <f>'Occ T2'!I173</f>
        <v>-0.55850881574924793</v>
      </c>
    </row>
    <row r="19" spans="12:14">
      <c r="L19" s="96" t="str">
        <f>"["&amp;'Occ T3'!A39&amp;"]"</f>
        <v>[Sales and customer service occupations]</v>
      </c>
      <c r="M19" s="73">
        <f>'Occ T1'!H86</f>
        <v>-1.9057013424181979</v>
      </c>
      <c r="N19" s="73">
        <f>'Occ T1'!I86</f>
        <v>-4.3975911251237232E-2</v>
      </c>
    </row>
    <row r="20" spans="12:14">
      <c r="L20" s="96"/>
    </row>
    <row r="21" spans="12:14">
      <c r="L21" s="89" t="str">
        <f>'Occ T3'!A37</f>
        <v>63 Community and civil enforcement occupations</v>
      </c>
      <c r="M21" s="73">
        <f>'Occ T2'!H172</f>
        <v>1.1806127781222031E-2</v>
      </c>
      <c r="N21" s="73">
        <f>'Occ T2'!I172</f>
        <v>-1.1622869012287262</v>
      </c>
    </row>
    <row r="22" spans="12:14">
      <c r="L22" s="73" t="str">
        <f>'Occ T3'!A36</f>
        <v>62 Leisure, travel and related personal service occupations</v>
      </c>
      <c r="M22" s="73">
        <f>'Occ T2'!H171</f>
        <v>-4.3727231759594805</v>
      </c>
      <c r="N22" s="73">
        <f>'Occ T2'!I171</f>
        <v>-0.58125569202476246</v>
      </c>
    </row>
    <row r="23" spans="12:14">
      <c r="L23" s="73" t="str">
        <f>'Occ T3'!A35</f>
        <v>61 Caring personal service occupations</v>
      </c>
      <c r="M23" s="73">
        <f>'Occ T2'!H170</f>
        <v>0.59460447567794006</v>
      </c>
      <c r="N23" s="73">
        <f>'Occ T2'!I170</f>
        <v>0.85698993594331974</v>
      </c>
    </row>
    <row r="24" spans="12:14">
      <c r="L24" s="96" t="str">
        <f>"["&amp;'Occ T3'!A34&amp;"]"</f>
        <v>[Caring, leisure and other service occupations]</v>
      </c>
      <c r="M24" s="73">
        <f>'Occ T1'!H85</f>
        <v>-0.45591198836449909</v>
      </c>
      <c r="N24" s="73">
        <f>'Occ T1'!I85</f>
        <v>0.5937695306053703</v>
      </c>
    </row>
    <row r="25" spans="12:14">
      <c r="L25" s="96"/>
    </row>
    <row r="26" spans="12:14">
      <c r="L26" s="73" t="str">
        <f>'Occ T3'!A32</f>
        <v>54 Textiles, printing and other skilled trades</v>
      </c>
      <c r="M26" s="73">
        <f>'Occ T2'!H169</f>
        <v>-2.9388290827512153</v>
      </c>
      <c r="N26" s="73">
        <f>'Occ T2'!I169</f>
        <v>-0.28095792058610014</v>
      </c>
    </row>
    <row r="27" spans="12:14">
      <c r="L27" s="73" t="str">
        <f>'Occ T3'!A31</f>
        <v>53 Skilled construction and building trades</v>
      </c>
      <c r="M27" s="73">
        <f>'Occ T2'!H168</f>
        <v>-1.3218965885935408</v>
      </c>
      <c r="N27" s="73">
        <f>'Occ T2'!I168</f>
        <v>-1.2807011061727547</v>
      </c>
    </row>
    <row r="28" spans="12:14">
      <c r="L28" s="73" t="str">
        <f>'Occ T3'!A30</f>
        <v>52 Skilled metal, electrical and electronic trades</v>
      </c>
      <c r="M28" s="73">
        <f>'Occ T2'!H167</f>
        <v>-4.083502909618753</v>
      </c>
      <c r="N28" s="73">
        <f>'Occ T2'!I167</f>
        <v>-0.72277342843283243</v>
      </c>
    </row>
    <row r="29" spans="12:14">
      <c r="L29" s="73" t="str">
        <f>'Occ T3'!A29</f>
        <v>51 Skilled agricultural and related trades</v>
      </c>
      <c r="M29" s="73">
        <f>'Occ T2'!H166</f>
        <v>-5.9151366231925406</v>
      </c>
      <c r="N29" s="73">
        <f>'Occ T2'!I166</f>
        <v>0.6803828236388032</v>
      </c>
    </row>
    <row r="30" spans="12:14">
      <c r="L30" s="96" t="str">
        <f>"["&amp;'Occ T3'!A28&amp;"]"</f>
        <v>[Skilled trades occupations]</v>
      </c>
      <c r="M30" s="73">
        <f>'Occ T1'!H84</f>
        <v>-3.1502625897510406</v>
      </c>
      <c r="N30" s="73">
        <f>'Occ T1'!I84</f>
        <v>-0.73475994895060293</v>
      </c>
    </row>
    <row r="31" spans="12:14">
      <c r="L31" s="96"/>
    </row>
    <row r="32" spans="12:14">
      <c r="L32" s="73" t="str">
        <f>'Occ T3'!A26</f>
        <v>42 Secretarial and related occupations</v>
      </c>
      <c r="M32" s="73">
        <f>'Occ T2'!H165</f>
        <v>-3.3420221813353468</v>
      </c>
      <c r="N32" s="73">
        <f>'Occ T2'!I165</f>
        <v>-3.5367242946928501</v>
      </c>
    </row>
    <row r="33" spans="12:14">
      <c r="L33" s="73" t="str">
        <f>'Occ T3'!A25</f>
        <v>41 Administrative occupations</v>
      </c>
      <c r="M33" s="73">
        <f>'Occ T2'!H164</f>
        <v>-0.80251961659546511</v>
      </c>
      <c r="N33" s="73">
        <f>'Occ T2'!I164</f>
        <v>0.12902272457058217</v>
      </c>
    </row>
    <row r="34" spans="12:14">
      <c r="L34" s="96" t="str">
        <f>"["&amp;'Occ T3'!A24&amp;"]"</f>
        <v>[Administrative and secretarial occupations]</v>
      </c>
      <c r="M34" s="73">
        <f>'Occ T1'!H83</f>
        <v>-1.2478068393020125</v>
      </c>
      <c r="N34" s="73">
        <f>'Occ T1'!I83</f>
        <v>-0.35714078831445839</v>
      </c>
    </row>
    <row r="35" spans="12:14">
      <c r="L35" s="96"/>
    </row>
    <row r="36" spans="12:14">
      <c r="L36" s="73" t="str">
        <f>'Occ T3'!A22</f>
        <v>35 Business and public service associate professionals</v>
      </c>
      <c r="M36" s="73">
        <f>'Occ T2'!H163</f>
        <v>0.88330808713674713</v>
      </c>
      <c r="N36" s="73">
        <f>'Occ T2'!I163</f>
        <v>0.36499271392635979</v>
      </c>
    </row>
    <row r="37" spans="12:14">
      <c r="L37" s="73" t="str">
        <f>'Occ T3'!A21</f>
        <v>34 Culture, media and sports occupations</v>
      </c>
      <c r="M37" s="73">
        <f>'Occ T2'!H162</f>
        <v>0.44404316777670871</v>
      </c>
      <c r="N37" s="73">
        <f>'Occ T2'!I162</f>
        <v>-0.40433329111217997</v>
      </c>
    </row>
    <row r="38" spans="12:14">
      <c r="L38" s="73" t="str">
        <f>'Occ T3'!A20</f>
        <v>33 Protective service occupations</v>
      </c>
      <c r="M38" s="73">
        <f>'Occ T2'!H161</f>
        <v>1.0699074651868257</v>
      </c>
      <c r="N38" s="73">
        <f>'Occ T2'!I161</f>
        <v>-0.34290857454674084</v>
      </c>
    </row>
    <row r="39" spans="12:14">
      <c r="L39" s="73" t="str">
        <f>'Occ T3'!A19</f>
        <v>32 Health and social care associate professionals</v>
      </c>
      <c r="M39" s="73">
        <f>'Occ T2'!H160</f>
        <v>4.0226870496867573</v>
      </c>
      <c r="N39" s="73">
        <f>'Occ T2'!I160</f>
        <v>4.422401319894731</v>
      </c>
    </row>
    <row r="40" spans="12:14">
      <c r="L40" s="73" t="str">
        <f>'Occ T3'!A18</f>
        <v>31 Science, engineering and technology associate professionals</v>
      </c>
      <c r="M40" s="73">
        <f>'Occ T2'!H159</f>
        <v>2.6616112272142889</v>
      </c>
      <c r="N40" s="73">
        <f>'Occ T2'!I159</f>
        <v>-0.22037679293600565</v>
      </c>
    </row>
    <row r="41" spans="12:14">
      <c r="L41" s="96" t="str">
        <f>"["&amp;'Occ T3'!A17&amp;"]"</f>
        <v>[Associate professional occupations]</v>
      </c>
      <c r="M41" s="73">
        <f>'Occ T1'!H82</f>
        <v>1.6173908609099286</v>
      </c>
      <c r="N41" s="73">
        <f>'Occ T1'!I82</f>
        <v>1.0857867262725973</v>
      </c>
    </row>
    <row r="42" spans="12:14">
      <c r="L42" s="96"/>
    </row>
    <row r="43" spans="12:14">
      <c r="L43" s="73" t="str">
        <f>'Occ T3'!A15</f>
        <v>24 Business, media and public service professionals</v>
      </c>
      <c r="M43" s="73">
        <f>'Occ T2'!H158</f>
        <v>4.1573473635407421</v>
      </c>
      <c r="N43" s="73">
        <f>'Occ T2'!I158</f>
        <v>1.015748682921247</v>
      </c>
    </row>
    <row r="44" spans="12:14">
      <c r="L44" s="73" t="str">
        <f>'Occ T3'!A14</f>
        <v>23 Teaching and other educational professionals</v>
      </c>
      <c r="M44" s="73">
        <f>'Occ T2'!H157</f>
        <v>2.4242955423134038</v>
      </c>
      <c r="N44" s="73">
        <f>'Occ T2'!I157</f>
        <v>0.61970175648629056</v>
      </c>
    </row>
    <row r="45" spans="12:14">
      <c r="L45" s="73" t="str">
        <f>'Occ T3'!A13</f>
        <v>22 Health professionals</v>
      </c>
      <c r="M45" s="73">
        <f>'Occ T2'!H156</f>
        <v>4.4027846668944992</v>
      </c>
      <c r="N45" s="73">
        <f>'Occ T2'!I156</f>
        <v>0.40825893933129631</v>
      </c>
    </row>
    <row r="46" spans="12:14">
      <c r="L46" s="73" t="str">
        <f>'Occ T3'!A12</f>
        <v>21 Science, research, engineering and technology professionals</v>
      </c>
      <c r="M46" s="73">
        <f>'Occ T2'!H155</f>
        <v>2.3989964645567241</v>
      </c>
      <c r="N46" s="73">
        <f>'Occ T2'!I155</f>
        <v>2.1053550953749944</v>
      </c>
    </row>
    <row r="47" spans="12:14">
      <c r="L47" s="96" t="str">
        <f>"["&amp;'Occ T3'!A11&amp;"]"</f>
        <v>[Professional occupations]</v>
      </c>
      <c r="M47" s="73">
        <f>'Occ T1'!H81</f>
        <v>3.3739606107497266</v>
      </c>
      <c r="N47" s="73">
        <f>'Occ T1'!I81</f>
        <v>1.0850858994736923</v>
      </c>
    </row>
    <row r="49" spans="12:14">
      <c r="L49" s="89" t="str">
        <f>'Occ T3'!A9</f>
        <v>12 Other managers and proprietors</v>
      </c>
      <c r="M49" s="73">
        <f>'Occ T2'!H154</f>
        <v>1.1422240086861102</v>
      </c>
      <c r="N49" s="73">
        <f>'Occ T2'!I154</f>
        <v>0.96772729272256441</v>
      </c>
    </row>
    <row r="50" spans="12:14">
      <c r="L50" s="89" t="str">
        <f>'Occ T3'!A8</f>
        <v>11 Corporate managers and directors</v>
      </c>
      <c r="M50" s="73">
        <f>'Occ T2'!H153</f>
        <v>2.9507896898499641</v>
      </c>
      <c r="N50" s="73">
        <f>'Occ T2'!I153</f>
        <v>-0.12304988831006725</v>
      </c>
    </row>
    <row r="51" spans="12:14">
      <c r="L51" s="96" t="str">
        <f>"["&amp;'Occ T3'!A7&amp;"]"</f>
        <v>[Managers, directors and senior officials]</v>
      </c>
      <c r="M51" s="73">
        <f>'Occ T1'!H80</f>
        <v>2.4301925967987525</v>
      </c>
      <c r="N51" s="73">
        <f>'Occ T1'!I80</f>
        <v>0.1961404623199936</v>
      </c>
    </row>
    <row r="80" spans="1:1" ht="15.75">
      <c r="A80" s="137" t="str">
        <f>CONCATENATE("Occupation Figure 1.1  Change in Employment by Occupation (SOC 2020), ",M81," and ",N81,", ",Info!B5)</f>
        <v>Occupation Figure 1.1  Change in Employment by Occupation (SOC 2020), 2015-2020 and 2020-2035, Black Country</v>
      </c>
    </row>
    <row r="81" spans="12:14">
      <c r="M81" s="89" t="str">
        <f>'Occ F1'!M6</f>
        <v>2015-2020</v>
      </c>
      <c r="N81" s="89" t="str">
        <f>'Occ F1'!N6</f>
        <v>2020-2035</v>
      </c>
    </row>
    <row r="82" spans="12:14">
      <c r="L82" s="10" t="str">
        <f>name!D4</f>
        <v>11 Corporate managers and directors</v>
      </c>
      <c r="M82" s="76">
        <f>'Occ T2'!D8-'Occ T2'!B8</f>
        <v>4.6765637180368742</v>
      </c>
      <c r="N82" s="76">
        <f>'Occ T2'!F119</f>
        <v>-0.63237684257853033</v>
      </c>
    </row>
    <row r="83" spans="12:14">
      <c r="L83" s="10" t="str">
        <f>name!D5</f>
        <v>12 Other managers and proprietors</v>
      </c>
      <c r="M83" s="76">
        <f>'Occ T2'!D9-'Occ T2'!B9</f>
        <v>0.73108315833857418</v>
      </c>
      <c r="N83" s="76">
        <f>'Occ T2'!F120</f>
        <v>2.0581886367369489</v>
      </c>
    </row>
    <row r="84" spans="12:14">
      <c r="L84" s="10" t="str">
        <f>name!D6</f>
        <v>21 Science, research, engineering and technology professionals</v>
      </c>
      <c r="M84" s="76">
        <f>'Occ T2'!D10-'Occ T2'!B10</f>
        <v>2.9815849256972591</v>
      </c>
      <c r="N84" s="76">
        <f>'Occ T2'!F121</f>
        <v>9.785995648515307</v>
      </c>
    </row>
    <row r="85" spans="12:14">
      <c r="L85" s="10" t="str">
        <f>name!D7</f>
        <v>22 Health professionals</v>
      </c>
      <c r="M85" s="76">
        <f>'Occ T2'!D11-'Occ T2'!B11</f>
        <v>5.210531890222569</v>
      </c>
      <c r="N85" s="76">
        <f>'Occ T2'!F122</f>
        <v>1.6943192677989956</v>
      </c>
    </row>
    <row r="86" spans="12:14">
      <c r="L86" s="10" t="str">
        <f>name!D8</f>
        <v>23 Teaching and other educational professionals</v>
      </c>
      <c r="M86" s="76">
        <f>'Occ T2'!D12-'Occ T2'!B12</f>
        <v>2.4862430778373721</v>
      </c>
      <c r="N86" s="76">
        <f>'Occ T2'!F123</f>
        <v>2.1387384451723044</v>
      </c>
    </row>
    <row r="87" spans="12:14">
      <c r="L87" s="10" t="str">
        <f>name!D9</f>
        <v>24 Business, media and public service professionals</v>
      </c>
      <c r="M87" s="76">
        <f>'Occ T2'!D13-'Occ T2'!B13</f>
        <v>5.1515657011708598</v>
      </c>
      <c r="N87" s="76">
        <f>'Occ T2'!F124</f>
        <v>4.5763308973755699</v>
      </c>
    </row>
    <row r="88" spans="12:14">
      <c r="L88" s="10" t="str">
        <f>name!D10</f>
        <v>31 Science, engineering and technology associate professionals</v>
      </c>
      <c r="M88" s="76">
        <f>'Occ T2'!D14-'Occ T2'!B14</f>
        <v>1.0722669969975689</v>
      </c>
      <c r="N88" s="76">
        <f>'Occ T2'!F125</f>
        <v>-0.28358469201754843</v>
      </c>
    </row>
    <row r="89" spans="12:14">
      <c r="L89" s="10" t="str">
        <f>name!D11</f>
        <v>32 Health and social care associate professionals</v>
      </c>
      <c r="M89" s="76">
        <f>'Occ T2'!D15-'Occ T2'!B15</f>
        <v>1.9689939474744271</v>
      </c>
      <c r="N89" s="76">
        <f>'Occ T2'!F126</f>
        <v>10.053937867540389</v>
      </c>
    </row>
    <row r="90" spans="12:14">
      <c r="L90" s="10" t="str">
        <f>name!D12</f>
        <v>33 Protective service occupations</v>
      </c>
      <c r="M90" s="76">
        <f>'Occ T2'!D16-'Occ T2'!B16</f>
        <v>0.24289834698689905</v>
      </c>
      <c r="N90" s="76">
        <f>'Occ T2'!F127</f>
        <v>-0.23539630392559019</v>
      </c>
    </row>
    <row r="91" spans="12:14">
      <c r="L91" s="10" t="str">
        <f>name!D13</f>
        <v>34 Culture, media and sports occupations</v>
      </c>
      <c r="M91" s="76">
        <f>'Occ T2'!D17-'Occ T2'!B17</f>
        <v>0.16860632659395058</v>
      </c>
      <c r="N91" s="76">
        <f>'Occ T2'!F128</f>
        <v>-0.45375675075010058</v>
      </c>
    </row>
    <row r="92" spans="12:14">
      <c r="L92" s="10" t="str">
        <f>name!D14</f>
        <v>35 Business and public service associate professionals</v>
      </c>
      <c r="M92" s="76">
        <f>'Occ T2'!D18-'Occ T2'!B18</f>
        <v>1.235451028761311</v>
      </c>
      <c r="N92" s="76">
        <f>'Occ T2'!F129</f>
        <v>1.613142520901345</v>
      </c>
    </row>
    <row r="93" spans="12:14">
      <c r="L93" s="10" t="str">
        <f>name!D15</f>
        <v>41 Administrative occupations</v>
      </c>
      <c r="M93" s="76">
        <f>'Occ T2'!D19-'Occ T2'!B19</f>
        <v>-1.9403324469086698</v>
      </c>
      <c r="N93" s="76">
        <f>'Occ T2'!F130</f>
        <v>0.92173963148113103</v>
      </c>
    </row>
    <row r="94" spans="12:14">
      <c r="L94" s="10" t="str">
        <f>name!D16</f>
        <v>42 Secretarial and related occupations</v>
      </c>
      <c r="M94" s="76">
        <f>'Occ T2'!D20-'Occ T2'!B20</f>
        <v>-1.7192200057405405</v>
      </c>
      <c r="N94" s="76">
        <f>'Occ T2'!F131</f>
        <v>-3.8728690186784727</v>
      </c>
    </row>
    <row r="95" spans="12:14">
      <c r="L95" s="10" t="str">
        <f>name!D17</f>
        <v>51 Skilled agricultural and related trades</v>
      </c>
      <c r="M95" s="76">
        <f>'Occ T2'!D21-'Occ T2'!B21</f>
        <v>-1.1381708058575417</v>
      </c>
      <c r="N95" s="76">
        <f>'Occ T2'!F132</f>
        <v>0.34187206540108628</v>
      </c>
    </row>
    <row r="96" spans="12:14">
      <c r="L96" s="10" t="str">
        <f>name!D18</f>
        <v>52 Skilled metal, electrical and electronic trades</v>
      </c>
      <c r="M96" s="76">
        <f>'Occ T2'!D22-'Occ T2'!B22</f>
        <v>-5.3858515546717918</v>
      </c>
      <c r="N96" s="76">
        <f>'Occ T2'!F133</f>
        <v>-2.3956919400202921</v>
      </c>
    </row>
    <row r="97" spans="12:14">
      <c r="L97" s="10" t="str">
        <f>name!D19</f>
        <v>53 Skilled construction and building trades</v>
      </c>
      <c r="M97" s="76">
        <f>'Occ T2'!D23-'Occ T2'!B23</f>
        <v>-1.2021571662427988</v>
      </c>
      <c r="N97" s="76">
        <f>'Occ T2'!F134</f>
        <v>-3.0718921750692889</v>
      </c>
    </row>
    <row r="98" spans="12:14">
      <c r="L98" s="10" t="str">
        <f>name!D20</f>
        <v>54 Textiles, printing and other skilled trades</v>
      </c>
      <c r="M98" s="76">
        <f>'Occ T2'!D24-'Occ T2'!B24</f>
        <v>-1.3397011691052612</v>
      </c>
      <c r="N98" s="76">
        <f>'Occ T2'!F135</f>
        <v>-0.34421132161091972</v>
      </c>
    </row>
    <row r="99" spans="12:14">
      <c r="L99" s="10" t="str">
        <f>name!D21</f>
        <v>61 Caring personal service occupations</v>
      </c>
      <c r="M99" s="76">
        <f>'Occ T2'!D25-'Occ T2'!B25</f>
        <v>1.1597876583648699</v>
      </c>
      <c r="N99" s="76">
        <f>'Occ T2'!F136</f>
        <v>5.4224209045557998</v>
      </c>
    </row>
    <row r="100" spans="12:14">
      <c r="L100" s="10" t="str">
        <f>name!D22</f>
        <v>62 Leisure, travel and related personal service occupations</v>
      </c>
      <c r="M100" s="76">
        <f>'Occ T2'!D26-'Occ T2'!B26</f>
        <v>-2.3002875958231126</v>
      </c>
      <c r="N100" s="76">
        <f>'Occ T2'!F137</f>
        <v>-0.76879720143824137</v>
      </c>
    </row>
    <row r="101" spans="12:14">
      <c r="L101" s="10" t="str">
        <f>name!D23</f>
        <v>63 Community and civil enforcement occupations</v>
      </c>
      <c r="M101" s="76">
        <f>'Occ T2'!D27-'Occ T2'!B27</f>
        <v>2.63734906043811E-4</v>
      </c>
      <c r="N101" s="76">
        <f>'Occ T2'!F138</f>
        <v>-7.1888798504818552E-2</v>
      </c>
    </row>
    <row r="102" spans="12:14">
      <c r="L102" s="10" t="str">
        <f>name!D24</f>
        <v>71 Sales occupations</v>
      </c>
      <c r="M102" s="76">
        <f>'Occ T2'!D28-'Occ T2'!B28</f>
        <v>-3.9728610635861052</v>
      </c>
      <c r="N102" s="76">
        <f>'Occ T2'!F139</f>
        <v>-2.437590182482154</v>
      </c>
    </row>
    <row r="103" spans="12:14">
      <c r="L103" s="10" t="str">
        <f>name!D25</f>
        <v>72 Customer service occupations</v>
      </c>
      <c r="M103" s="76">
        <f>'Occ T2'!D29-'Occ T2'!B29</f>
        <v>1.5616228900583451E-4</v>
      </c>
      <c r="N103" s="76">
        <f>'Occ T2'!F140</f>
        <v>2.1788870457386089</v>
      </c>
    </row>
    <row r="104" spans="12:14">
      <c r="L104" s="10" t="str">
        <f>name!D26</f>
        <v>81 Process, plant and machine operatives</v>
      </c>
      <c r="M104" s="76">
        <f>'Occ T2'!D30-'Occ T2'!B30</f>
        <v>-4.6347589542310885</v>
      </c>
      <c r="N104" s="76">
        <f>'Occ T2'!F141</f>
        <v>-0.86859262633460332</v>
      </c>
    </row>
    <row r="105" spans="12:14">
      <c r="L105" s="10" t="str">
        <f>name!D27</f>
        <v>82 Transport and mobile machine drivers and operatives</v>
      </c>
      <c r="M105" s="76">
        <f>'Occ T2'!D31-'Occ T2'!B31</f>
        <v>-2.1475507995479965</v>
      </c>
      <c r="N105" s="76">
        <f>'Occ T2'!F142</f>
        <v>0.70995605294593744</v>
      </c>
    </row>
    <row r="106" spans="12:14">
      <c r="L106" s="10" t="str">
        <f>name!D28</f>
        <v>91 Elementary trades and related occupations</v>
      </c>
      <c r="M106" s="76">
        <f>'Occ T2'!D32-'Occ T2'!B32</f>
        <v>-2.8895490557075245</v>
      </c>
      <c r="N106" s="76">
        <f>'Occ T2'!F143</f>
        <v>7.8988926835633269</v>
      </c>
    </row>
    <row r="107" spans="12:14">
      <c r="L107" s="10" t="str">
        <f>name!D29</f>
        <v>92 Elementary administration and service occupations</v>
      </c>
      <c r="M107" s="76">
        <f>'Occ T2'!D33-'Occ T2'!B33</f>
        <v>-7.7835560562555415</v>
      </c>
      <c r="N107" s="76">
        <f>'Occ T2'!F144</f>
        <v>-8.2077738143163437</v>
      </c>
    </row>
    <row r="108" spans="12:14">
      <c r="L108" s="10"/>
      <c r="M108" s="76"/>
      <c r="N108" s="76"/>
    </row>
    <row r="109" spans="12:14">
      <c r="L109" s="10" t="str">
        <f>name!D3</f>
        <v>All occupations</v>
      </c>
      <c r="M109" s="76">
        <f>'Occ T2'!D35-'Occ T2'!B35</f>
        <v>-9.3680000000005066</v>
      </c>
      <c r="N109" s="76">
        <f>'Occ T2'!F146</f>
        <v>25.750000000000114</v>
      </c>
    </row>
    <row r="150" spans="1:14" ht="15.75">
      <c r="A150" s="137" t="str">
        <f>CONCATENATE("Occupation Figure 1.2  Change in Employment by Occupation (SOC 2020), ",M152," and ",N152,", ",Info!B5)</f>
        <v>Occupation Figure 1.2  Change in Employment by Occupation (SOC 2020), 2015 - 2020 and 2020-2035, Black Country</v>
      </c>
    </row>
    <row r="152" spans="1:14">
      <c r="M152" s="73" t="str">
        <f>'Occ T1'!B6&amp;" - "&amp;'Occ T1'!D6</f>
        <v>2015 - 2020</v>
      </c>
      <c r="N152" s="73" t="str">
        <f>'Occ T1'!H4</f>
        <v>2020-2035</v>
      </c>
    </row>
    <row r="153" spans="1:14">
      <c r="L153" s="10" t="str">
        <f>name!E4</f>
        <v>Managers, directors and senior officials</v>
      </c>
      <c r="M153" s="76">
        <f>'Occ T1'!D8-'Occ T1'!B8</f>
        <v>5.4076468763754519</v>
      </c>
      <c r="N153" s="76">
        <f>'Occ T1'!H8</f>
        <v>1.4258117941584203</v>
      </c>
    </row>
    <row r="154" spans="1:14">
      <c r="L154" s="10" t="str">
        <f>name!E5</f>
        <v>Professional occupations</v>
      </c>
      <c r="M154" s="76">
        <f>'Occ T1'!D9-'Occ T1'!B9</f>
        <v>15.829925594928071</v>
      </c>
      <c r="N154" s="76">
        <f>'Occ T1'!H9</f>
        <v>18.195384258862177</v>
      </c>
    </row>
    <row r="155" spans="1:14">
      <c r="L155" s="10" t="str">
        <f>name!E6</f>
        <v>Associate professional occupations</v>
      </c>
      <c r="M155" s="76">
        <f>'Occ T1'!D10-'Occ T1'!B10</f>
        <v>4.6882166468141548</v>
      </c>
      <c r="N155" s="76">
        <f>'Occ T1'!H10</f>
        <v>10.694342641748491</v>
      </c>
    </row>
    <row r="156" spans="1:14">
      <c r="L156" s="10" t="str">
        <f>name!E7</f>
        <v>Administrative and secretarial occupations</v>
      </c>
      <c r="M156" s="76">
        <f>'Occ T1'!D11-'Occ T1'!B11</f>
        <v>-3.6595524526492085</v>
      </c>
      <c r="N156" s="76">
        <f>'Occ T1'!H11</f>
        <v>-2.9511293871973407</v>
      </c>
    </row>
    <row r="157" spans="1:14">
      <c r="L157" s="10" t="str">
        <f>name!E8</f>
        <v>Skilled trades occupations</v>
      </c>
      <c r="M157" s="76">
        <f>'Occ T1'!D12-'Occ T1'!B12</f>
        <v>-9.0658806958773965</v>
      </c>
      <c r="N157" s="76">
        <f>'Occ T1'!H12</f>
        <v>-5.4699233712994157</v>
      </c>
    </row>
    <row r="158" spans="1:14">
      <c r="L158" s="10" t="str">
        <f>name!E9</f>
        <v>Caring, leisure and other service occupations</v>
      </c>
      <c r="M158" s="76">
        <f>'Occ T1'!D13-'Occ T1'!B13</f>
        <v>-1.1402362025521953</v>
      </c>
      <c r="N158" s="76">
        <f>'Occ T1'!H13</f>
        <v>4.5817349046127376</v>
      </c>
    </row>
    <row r="159" spans="1:14">
      <c r="L159" s="10" t="str">
        <f>name!E10</f>
        <v>Sales and customer service occupations</v>
      </c>
      <c r="M159" s="76">
        <f>'Occ T1'!D14-'Occ T1'!B14</f>
        <v>-3.9727049012970994</v>
      </c>
      <c r="N159" s="76">
        <f>'Occ T1'!H14</f>
        <v>-0.25870313674354861</v>
      </c>
    </row>
    <row r="160" spans="1:14">
      <c r="L160" s="10" t="str">
        <f>name!E11</f>
        <v>Process, plant and machine operatives</v>
      </c>
      <c r="M160" s="76">
        <f>'Occ T1'!D15-'Occ T1'!B15</f>
        <v>-6.7823097537790886</v>
      </c>
      <c r="N160" s="76">
        <f>'Occ T1'!H15</f>
        <v>-0.15863657338866233</v>
      </c>
    </row>
    <row r="161" spans="12:14">
      <c r="L161" s="10" t="str">
        <f>name!E12</f>
        <v>Elementary occupations</v>
      </c>
      <c r="M161" s="76">
        <f>'Occ T1'!D16-'Occ T1'!B16</f>
        <v>-10.673105111963068</v>
      </c>
      <c r="N161" s="76">
        <f>'Occ T1'!H16</f>
        <v>-0.30888113075301504</v>
      </c>
    </row>
    <row r="162" spans="12:14">
      <c r="L162" s="10"/>
      <c r="M162" s="76"/>
      <c r="N162" s="76"/>
    </row>
    <row r="163" spans="12:14">
      <c r="L163" s="10" t="str">
        <f>name!E3</f>
        <v>All occupations</v>
      </c>
      <c r="M163" s="76">
        <f>'Occ T1'!D18-'Occ T1'!B18</f>
        <v>-9.3680000000004497</v>
      </c>
      <c r="N163" s="76">
        <f>'Occ T1'!H18</f>
        <v>25.749999999999844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tabSelected="1" zoomScale="75" zoomScaleNormal="75" workbookViewId="0">
      <selection activeCell="L4" sqref="L4"/>
    </sheetView>
  </sheetViews>
  <sheetFormatPr defaultColWidth="9.140625" defaultRowHeight="12.75"/>
  <cols>
    <col min="1" max="1" width="17" style="63" customWidth="1"/>
    <col min="2" max="8" width="9.140625" style="63"/>
    <col min="9" max="9" width="31.85546875" style="63" customWidth="1"/>
    <col min="10" max="10" width="11.28515625" style="63" customWidth="1"/>
    <col min="11" max="11" width="6.140625" style="63" customWidth="1"/>
    <col min="12" max="12" width="52.28515625" customWidth="1"/>
    <col min="13" max="41" width="15.7109375" customWidth="1"/>
    <col min="42" max="63" width="6.28515625" customWidth="1"/>
  </cols>
  <sheetData>
    <row r="1" spans="1:64" ht="15.75">
      <c r="A1" s="62" t="str">
        <f>CONCATENATE("Occupation Figure 2  Employment by Occupation (SOC 2020), ",$M$2,"-",$O$2,", ",Info!B5)</f>
        <v>Occupation Figure 2  Employment by Occupation (SOC 2020), 2010-2035, Black Country</v>
      </c>
      <c r="L1" s="36"/>
    </row>
    <row r="2" spans="1:64">
      <c r="A2" s="335" t="s">
        <v>163</v>
      </c>
      <c r="L2" s="16" t="s">
        <v>146</v>
      </c>
      <c r="M2" s="38">
        <f>M4</f>
        <v>2010</v>
      </c>
      <c r="N2" s="37" t="s">
        <v>147</v>
      </c>
      <c r="O2" s="38">
        <f>MAX(N4:BL4)</f>
        <v>2035</v>
      </c>
    </row>
    <row r="3" spans="1:64">
      <c r="L3" s="16"/>
      <c r="M3" s="16"/>
      <c r="N3" s="37"/>
      <c r="O3" s="16"/>
    </row>
    <row r="4" spans="1:64">
      <c r="L4" s="1" t="s">
        <v>112</v>
      </c>
      <c r="M4" s="38">
        <v>2010</v>
      </c>
      <c r="N4" s="38">
        <v>2011</v>
      </c>
      <c r="O4" s="38">
        <v>2012</v>
      </c>
      <c r="P4" s="38">
        <v>2013</v>
      </c>
      <c r="Q4" s="38">
        <v>2014</v>
      </c>
      <c r="R4" s="38">
        <v>2015</v>
      </c>
      <c r="S4" s="38">
        <v>2016</v>
      </c>
      <c r="T4" s="38">
        <v>2017</v>
      </c>
      <c r="U4" s="38">
        <v>2018</v>
      </c>
      <c r="V4" s="38">
        <v>2019</v>
      </c>
      <c r="W4" s="38">
        <v>2020</v>
      </c>
      <c r="X4" s="38">
        <v>2021</v>
      </c>
      <c r="Y4" s="38">
        <v>2022</v>
      </c>
      <c r="Z4" s="38">
        <v>2023</v>
      </c>
      <c r="AA4" s="38">
        <v>2024</v>
      </c>
      <c r="AB4" s="38">
        <v>2025</v>
      </c>
      <c r="AC4" s="38">
        <v>2026</v>
      </c>
      <c r="AD4" s="38">
        <v>2027</v>
      </c>
      <c r="AE4" s="38">
        <v>2028</v>
      </c>
      <c r="AF4" s="38">
        <v>2029</v>
      </c>
      <c r="AG4" s="38">
        <v>2030</v>
      </c>
      <c r="AH4" s="38">
        <v>2031</v>
      </c>
      <c r="AI4" s="38">
        <v>2032</v>
      </c>
      <c r="AJ4" s="38">
        <v>2033</v>
      </c>
      <c r="AK4" s="38">
        <v>2034</v>
      </c>
      <c r="AL4" s="38">
        <v>2035</v>
      </c>
      <c r="AM4" s="3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>
      <c r="L5" s="17" t="str">
        <f>'Occ T3'!A7</f>
        <v>Managers, directors and senior officials</v>
      </c>
      <c r="M5" s="69">
        <f t="shared" ref="M5" si="0">SUM(M6:M7)</f>
        <v>35.862180867533461</v>
      </c>
      <c r="N5" s="69">
        <f>SUM(N6:N7)</f>
        <v>38.511174589502531</v>
      </c>
      <c r="O5" s="69">
        <f t="shared" ref="O5:AL5" si="1">SUM(O6:O7)</f>
        <v>39.64259224433583</v>
      </c>
      <c r="P5" s="69">
        <f t="shared" si="1"/>
        <v>40.316415513863291</v>
      </c>
      <c r="Q5" s="69">
        <f t="shared" si="1"/>
        <v>40.243872987208107</v>
      </c>
      <c r="R5" s="69">
        <f t="shared" si="1"/>
        <v>42.392720616000332</v>
      </c>
      <c r="S5" s="69">
        <f t="shared" si="1"/>
        <v>42.985464839465521</v>
      </c>
      <c r="T5" s="69">
        <f t="shared" si="1"/>
        <v>44.984427135591197</v>
      </c>
      <c r="U5" s="69">
        <f t="shared" si="1"/>
        <v>45.975161924547479</v>
      </c>
      <c r="V5" s="69">
        <f t="shared" si="1"/>
        <v>46.345148009577287</v>
      </c>
      <c r="W5" s="69">
        <f t="shared" si="1"/>
        <v>47.800367492375784</v>
      </c>
      <c r="X5" s="69">
        <f t="shared" si="1"/>
        <v>43.060535762133284</v>
      </c>
      <c r="Y5" s="69">
        <f t="shared" si="1"/>
        <v>43.454015245303204</v>
      </c>
      <c r="Z5" s="69">
        <f t="shared" si="1"/>
        <v>43.880784263827806</v>
      </c>
      <c r="AA5" s="69">
        <f t="shared" si="1"/>
        <v>44.389079234129113</v>
      </c>
      <c r="AB5" s="69">
        <f t="shared" si="1"/>
        <v>44.836824250943323</v>
      </c>
      <c r="AC5" s="69">
        <f t="shared" si="1"/>
        <v>45.243249097567087</v>
      </c>
      <c r="AD5" s="69">
        <f t="shared" si="1"/>
        <v>45.641551239195167</v>
      </c>
      <c r="AE5" s="69">
        <f t="shared" si="1"/>
        <v>46.052615855161022</v>
      </c>
      <c r="AF5" s="69">
        <f t="shared" si="1"/>
        <v>46.472351672888863</v>
      </c>
      <c r="AG5" s="69">
        <f t="shared" si="1"/>
        <v>46.923273602695382</v>
      </c>
      <c r="AH5" s="69">
        <f t="shared" si="1"/>
        <v>47.364506275000423</v>
      </c>
      <c r="AI5" s="69">
        <f t="shared" si="1"/>
        <v>47.808224500789919</v>
      </c>
      <c r="AJ5" s="69">
        <f t="shared" si="1"/>
        <v>48.264954800681885</v>
      </c>
      <c r="AK5" s="69">
        <f t="shared" si="1"/>
        <v>48.738490857078631</v>
      </c>
      <c r="AL5" s="69">
        <f t="shared" si="1"/>
        <v>49.226179286534204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>
      <c r="L6" s="108" t="str">
        <f>'Occ T3'!A8</f>
        <v>11 Corporate managers and directors</v>
      </c>
      <c r="M6" s="11">
        <v>25.579593238439738</v>
      </c>
      <c r="N6" s="11">
        <v>27.40169587563938</v>
      </c>
      <c r="O6" s="11">
        <v>28.168559828983248</v>
      </c>
      <c r="P6" s="11">
        <v>28.699744694795161</v>
      </c>
      <c r="Q6" s="11">
        <v>27.526629945729731</v>
      </c>
      <c r="R6" s="11">
        <v>29.880785800881405</v>
      </c>
      <c r="S6" s="11">
        <v>31.39905331134868</v>
      </c>
      <c r="T6" s="11">
        <v>32.04154656777888</v>
      </c>
      <c r="U6" s="11">
        <v>33.297068548179432</v>
      </c>
      <c r="V6" s="11">
        <v>33.670781149647794</v>
      </c>
      <c r="W6" s="11">
        <v>34.557349518918279</v>
      </c>
      <c r="X6" s="11">
        <v>30.075727690006548</v>
      </c>
      <c r="Y6" s="11">
        <v>30.291432415932476</v>
      </c>
      <c r="Z6" s="11">
        <v>30.557092989920058</v>
      </c>
      <c r="AA6" s="11">
        <v>30.893841930483362</v>
      </c>
      <c r="AB6" s="11">
        <v>31.172230771306513</v>
      </c>
      <c r="AC6" s="11">
        <v>31.429118254214508</v>
      </c>
      <c r="AD6" s="11">
        <v>31.685152719904647</v>
      </c>
      <c r="AE6" s="11">
        <v>31.950062959950447</v>
      </c>
      <c r="AF6" s="11">
        <v>32.211441044902173</v>
      </c>
      <c r="AG6" s="11">
        <v>32.495532292470394</v>
      </c>
      <c r="AH6" s="11">
        <v>32.77102116260231</v>
      </c>
      <c r="AI6" s="11">
        <v>33.051061364181777</v>
      </c>
      <c r="AJ6" s="11">
        <v>33.337145705645646</v>
      </c>
      <c r="AK6" s="11">
        <v>33.627082802042622</v>
      </c>
      <c r="AL6" s="11">
        <v>33.924972676339749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>
      <c r="L7" s="108" t="str">
        <f>'Occ T3'!A9</f>
        <v>12 Other managers and proprietors</v>
      </c>
      <c r="M7" s="11">
        <v>10.282587629093722</v>
      </c>
      <c r="N7" s="11">
        <v>11.109478713863155</v>
      </c>
      <c r="O7" s="11">
        <v>11.474032415352585</v>
      </c>
      <c r="P7" s="11">
        <v>11.616670819068126</v>
      </c>
      <c r="Q7" s="11">
        <v>12.717243041478378</v>
      </c>
      <c r="R7" s="11">
        <v>12.511934815118931</v>
      </c>
      <c r="S7" s="11">
        <v>11.586411528116839</v>
      </c>
      <c r="T7" s="11">
        <v>12.942880567812317</v>
      </c>
      <c r="U7" s="11">
        <v>12.678093376368045</v>
      </c>
      <c r="V7" s="11">
        <v>12.674366859929489</v>
      </c>
      <c r="W7" s="11">
        <v>13.243017973457505</v>
      </c>
      <c r="X7" s="11">
        <v>12.984808072126734</v>
      </c>
      <c r="Y7" s="11">
        <v>13.162582829370725</v>
      </c>
      <c r="Z7" s="11">
        <v>13.323691273907748</v>
      </c>
      <c r="AA7" s="11">
        <v>13.49523730364575</v>
      </c>
      <c r="AB7" s="11">
        <v>13.664593479636807</v>
      </c>
      <c r="AC7" s="11">
        <v>13.814130843352583</v>
      </c>
      <c r="AD7" s="11">
        <v>13.956398519290516</v>
      </c>
      <c r="AE7" s="11">
        <v>14.102552895210573</v>
      </c>
      <c r="AF7" s="11">
        <v>14.260910627986689</v>
      </c>
      <c r="AG7" s="11">
        <v>14.42774131022499</v>
      </c>
      <c r="AH7" s="11">
        <v>14.593485112398117</v>
      </c>
      <c r="AI7" s="11">
        <v>14.757163136608142</v>
      </c>
      <c r="AJ7" s="11">
        <v>14.927809095036238</v>
      </c>
      <c r="AK7" s="11">
        <v>15.111408055036012</v>
      </c>
      <c r="AL7" s="11">
        <v>15.301206610194454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>
      <c r="L8" s="108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>
      <c r="L9" s="17" t="str">
        <f>'Occ T3'!A11</f>
        <v>Professional occupations</v>
      </c>
      <c r="M9" s="69">
        <f t="shared" ref="M9" si="2">SUM(M10:M13)</f>
        <v>86.206821442855571</v>
      </c>
      <c r="N9" s="69">
        <f>SUM(N10:N13)</f>
        <v>85.731316551172029</v>
      </c>
      <c r="O9" s="69">
        <f t="shared" ref="O9:AL9" si="3">SUM(O10:O13)</f>
        <v>84.571828003452111</v>
      </c>
      <c r="P9" s="69">
        <f t="shared" si="3"/>
        <v>86.321165784949471</v>
      </c>
      <c r="Q9" s="69">
        <f t="shared" si="3"/>
        <v>87.165939561521355</v>
      </c>
      <c r="R9" s="69">
        <f t="shared" si="3"/>
        <v>87.713907644760383</v>
      </c>
      <c r="S9" s="69">
        <f t="shared" si="3"/>
        <v>92.887078996026617</v>
      </c>
      <c r="T9" s="69">
        <f t="shared" si="3"/>
        <v>93.43879519461521</v>
      </c>
      <c r="U9" s="69">
        <f t="shared" si="3"/>
        <v>96.075621748911246</v>
      </c>
      <c r="V9" s="69">
        <f t="shared" si="3"/>
        <v>99.060176549524812</v>
      </c>
      <c r="W9" s="69">
        <f t="shared" si="3"/>
        <v>103.54383323968845</v>
      </c>
      <c r="X9" s="69">
        <f t="shared" si="3"/>
        <v>104.99516752620241</v>
      </c>
      <c r="Y9" s="69">
        <f t="shared" si="3"/>
        <v>106.00365646184794</v>
      </c>
      <c r="Z9" s="69">
        <f t="shared" si="3"/>
        <v>107.24803069004871</v>
      </c>
      <c r="AA9" s="69">
        <f t="shared" si="3"/>
        <v>108.70617423210903</v>
      </c>
      <c r="AB9" s="69">
        <f t="shared" si="3"/>
        <v>109.96238805392818</v>
      </c>
      <c r="AC9" s="69">
        <f t="shared" si="3"/>
        <v>111.1484554981422</v>
      </c>
      <c r="AD9" s="69">
        <f t="shared" si="3"/>
        <v>112.31089713171626</v>
      </c>
      <c r="AE9" s="69">
        <f t="shared" si="3"/>
        <v>113.43589562579079</v>
      </c>
      <c r="AF9" s="69">
        <f t="shared" si="3"/>
        <v>114.57329559762601</v>
      </c>
      <c r="AG9" s="69">
        <f t="shared" si="3"/>
        <v>115.77397136993768</v>
      </c>
      <c r="AH9" s="69">
        <f t="shared" si="3"/>
        <v>116.97986811251998</v>
      </c>
      <c r="AI9" s="69">
        <f t="shared" si="3"/>
        <v>118.16663666353965</v>
      </c>
      <c r="AJ9" s="69">
        <f t="shared" si="3"/>
        <v>119.36661533226028</v>
      </c>
      <c r="AK9" s="69">
        <f t="shared" si="3"/>
        <v>120.57211980846094</v>
      </c>
      <c r="AL9" s="69">
        <f t="shared" si="3"/>
        <v>121.73921749855063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>
      <c r="L10" s="108" t="str">
        <f>'Occ T3'!A12</f>
        <v>21 Science, research, engineering and technology professionals</v>
      </c>
      <c r="M10" s="11">
        <v>22.377811895442253</v>
      </c>
      <c r="N10" s="11">
        <v>21.147922737477579</v>
      </c>
      <c r="O10" s="11">
        <v>21.373272016484549</v>
      </c>
      <c r="P10" s="11">
        <v>21.38951926771017</v>
      </c>
      <c r="Q10" s="11">
        <v>22.292308176904616</v>
      </c>
      <c r="R10" s="11">
        <v>23.692567314037611</v>
      </c>
      <c r="S10" s="11">
        <v>24.089672943557431</v>
      </c>
      <c r="T10" s="11">
        <v>23.173002025289211</v>
      </c>
      <c r="U10" s="11">
        <v>25.387472391358401</v>
      </c>
      <c r="V10" s="11">
        <v>25.522442469208745</v>
      </c>
      <c r="W10" s="11">
        <v>26.67415223973487</v>
      </c>
      <c r="X10" s="11">
        <v>30.584511425055727</v>
      </c>
      <c r="Y10" s="11">
        <v>30.950848576356279</v>
      </c>
      <c r="Z10" s="11">
        <v>31.38392542753812</v>
      </c>
      <c r="AA10" s="11">
        <v>31.887494497599565</v>
      </c>
      <c r="AB10" s="11">
        <v>32.331352616593463</v>
      </c>
      <c r="AC10" s="11">
        <v>32.738821698467824</v>
      </c>
      <c r="AD10" s="11">
        <v>33.129988174010208</v>
      </c>
      <c r="AE10" s="11">
        <v>33.515713849750739</v>
      </c>
      <c r="AF10" s="11">
        <v>33.903539207830491</v>
      </c>
      <c r="AG10" s="11">
        <v>34.326048204468954</v>
      </c>
      <c r="AH10" s="11">
        <v>34.744655113261388</v>
      </c>
      <c r="AI10" s="11">
        <v>35.169624735640845</v>
      </c>
      <c r="AJ10" s="11">
        <v>35.591619161000544</v>
      </c>
      <c r="AK10" s="11">
        <v>36.027313718101766</v>
      </c>
      <c r="AL10" s="11">
        <v>36.460147888250177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>
      <c r="L11" s="108" t="str">
        <f>'Occ T3'!A13</f>
        <v>22 Health professionals</v>
      </c>
      <c r="M11" s="11">
        <v>20.190295533415984</v>
      </c>
      <c r="N11" s="11">
        <v>21.70156410510868</v>
      </c>
      <c r="O11" s="11">
        <v>22.504275666399398</v>
      </c>
      <c r="P11" s="11">
        <v>22.874578467079267</v>
      </c>
      <c r="Q11" s="11">
        <v>23.071665541173786</v>
      </c>
      <c r="R11" s="11">
        <v>21.674771905892207</v>
      </c>
      <c r="S11" s="11">
        <v>24.616500003749771</v>
      </c>
      <c r="T11" s="11">
        <v>26.243237289701206</v>
      </c>
      <c r="U11" s="11">
        <v>25.449093962651084</v>
      </c>
      <c r="V11" s="11">
        <v>27.315802663195459</v>
      </c>
      <c r="W11" s="11">
        <v>26.885303796114776</v>
      </c>
      <c r="X11" s="11">
        <v>25.484947536938776</v>
      </c>
      <c r="Y11" s="11">
        <v>25.726675786960506</v>
      </c>
      <c r="Z11" s="11">
        <v>25.989492309915555</v>
      </c>
      <c r="AA11" s="11">
        <v>26.295795229622467</v>
      </c>
      <c r="AB11" s="11">
        <v>26.54413441665373</v>
      </c>
      <c r="AC11" s="11">
        <v>26.772172397431909</v>
      </c>
      <c r="AD11" s="11">
        <v>26.988497743327557</v>
      </c>
      <c r="AE11" s="11">
        <v>27.163545486327397</v>
      </c>
      <c r="AF11" s="11">
        <v>27.370470347226167</v>
      </c>
      <c r="AG11" s="11">
        <v>27.573922504711341</v>
      </c>
      <c r="AH11" s="11">
        <v>27.78040092922064</v>
      </c>
      <c r="AI11" s="11">
        <v>27.984584447828627</v>
      </c>
      <c r="AJ11" s="11">
        <v>28.191988415654016</v>
      </c>
      <c r="AK11" s="11">
        <v>28.394571433941138</v>
      </c>
      <c r="AL11" s="11">
        <v>28.579623063913772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>
      <c r="L12" s="108" t="str">
        <f>'Occ T3'!A14</f>
        <v>23 Teaching and other educational professionals</v>
      </c>
      <c r="M12" s="11">
        <v>20.456879175385708</v>
      </c>
      <c r="N12" s="11">
        <v>21.055623593171269</v>
      </c>
      <c r="O12" s="11">
        <v>19.699149496513833</v>
      </c>
      <c r="P12" s="11">
        <v>19.701836017610951</v>
      </c>
      <c r="Q12" s="11">
        <v>19.41236908695241</v>
      </c>
      <c r="R12" s="11">
        <v>19.540374765671235</v>
      </c>
      <c r="S12" s="11">
        <v>20.300023917060315</v>
      </c>
      <c r="T12" s="11">
        <v>19.85962826589396</v>
      </c>
      <c r="U12" s="11">
        <v>19.555534387074616</v>
      </c>
      <c r="V12" s="11">
        <v>20.765597855160532</v>
      </c>
      <c r="W12" s="11">
        <v>22.026617843508607</v>
      </c>
      <c r="X12" s="11">
        <v>21.042952128097475</v>
      </c>
      <c r="Y12" s="11">
        <v>21.216801564954341</v>
      </c>
      <c r="Z12" s="11">
        <v>21.457775128923572</v>
      </c>
      <c r="AA12" s="11">
        <v>21.728442336362058</v>
      </c>
      <c r="AB12" s="11">
        <v>21.969692618216403</v>
      </c>
      <c r="AC12" s="11">
        <v>22.211058677789687</v>
      </c>
      <c r="AD12" s="11">
        <v>22.452927620239169</v>
      </c>
      <c r="AE12" s="11">
        <v>22.68441556001617</v>
      </c>
      <c r="AF12" s="11">
        <v>22.89791829591648</v>
      </c>
      <c r="AG12" s="11">
        <v>23.120233394978808</v>
      </c>
      <c r="AH12" s="11">
        <v>23.35175936660082</v>
      </c>
      <c r="AI12" s="11">
        <v>23.556573071221266</v>
      </c>
      <c r="AJ12" s="11">
        <v>23.765156584793846</v>
      </c>
      <c r="AK12" s="11">
        <v>23.970926432272623</v>
      </c>
      <c r="AL12" s="11">
        <v>24.165356288680911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>
      <c r="L13" s="108" t="str">
        <f>'Occ T3'!A15</f>
        <v>24 Business, media and public service professionals</v>
      </c>
      <c r="M13" s="11">
        <v>23.181834838611625</v>
      </c>
      <c r="N13" s="11">
        <v>21.826206115414504</v>
      </c>
      <c r="O13" s="11">
        <v>20.995130824054328</v>
      </c>
      <c r="P13" s="11">
        <v>22.355232032549083</v>
      </c>
      <c r="Q13" s="11">
        <v>22.389596756490544</v>
      </c>
      <c r="R13" s="11">
        <v>22.806193659159341</v>
      </c>
      <c r="S13" s="11">
        <v>23.880882131659085</v>
      </c>
      <c r="T13" s="11">
        <v>24.162927613730837</v>
      </c>
      <c r="U13" s="11">
        <v>25.683521007827142</v>
      </c>
      <c r="V13" s="11">
        <v>25.456333561960076</v>
      </c>
      <c r="W13" s="11">
        <v>27.957759360330201</v>
      </c>
      <c r="X13" s="11">
        <v>27.882756436110437</v>
      </c>
      <c r="Y13" s="11">
        <v>28.109330533576806</v>
      </c>
      <c r="Z13" s="11">
        <v>28.416837823671454</v>
      </c>
      <c r="AA13" s="11">
        <v>28.794442168524952</v>
      </c>
      <c r="AB13" s="11">
        <v>29.117208402464584</v>
      </c>
      <c r="AC13" s="11">
        <v>29.426402724452764</v>
      </c>
      <c r="AD13" s="11">
        <v>29.739483594139326</v>
      </c>
      <c r="AE13" s="11">
        <v>30.0722207296965</v>
      </c>
      <c r="AF13" s="11">
        <v>30.401367746652877</v>
      </c>
      <c r="AG13" s="11">
        <v>30.753767265778574</v>
      </c>
      <c r="AH13" s="11">
        <v>31.103052703437125</v>
      </c>
      <c r="AI13" s="11">
        <v>31.455854408848911</v>
      </c>
      <c r="AJ13" s="11">
        <v>31.817851170811881</v>
      </c>
      <c r="AK13" s="11">
        <v>32.179308224145416</v>
      </c>
      <c r="AL13" s="11">
        <v>32.53409025770577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>
      <c r="L14" s="108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>
      <c r="L15" s="17" t="str">
        <f>'Occ T3'!A17</f>
        <v>Associate professional occupations</v>
      </c>
      <c r="M15" s="69">
        <f t="shared" ref="M15" si="4">SUM(M16:M20)</f>
        <v>53.373040106788551</v>
      </c>
      <c r="N15" s="69">
        <f>SUM(N16:N20)</f>
        <v>53.085699220941578</v>
      </c>
      <c r="O15" s="69">
        <f t="shared" ref="O15:AL15" si="5">SUM(O16:O20)</f>
        <v>54.517980862841341</v>
      </c>
      <c r="P15" s="69">
        <f t="shared" si="5"/>
        <v>54.016251400602997</v>
      </c>
      <c r="Q15" s="69">
        <f t="shared" si="5"/>
        <v>54.773115656466345</v>
      </c>
      <c r="R15" s="69">
        <f t="shared" si="5"/>
        <v>56.127385363836439</v>
      </c>
      <c r="S15" s="69">
        <f t="shared" si="5"/>
        <v>56.929880454626009</v>
      </c>
      <c r="T15" s="69">
        <f t="shared" si="5"/>
        <v>59.145991111724456</v>
      </c>
      <c r="U15" s="69">
        <f t="shared" si="5"/>
        <v>58.733511687785942</v>
      </c>
      <c r="V15" s="69">
        <f t="shared" si="5"/>
        <v>58.716382031893609</v>
      </c>
      <c r="W15" s="69">
        <f t="shared" si="5"/>
        <v>60.815602010650593</v>
      </c>
      <c r="X15" s="69">
        <f t="shared" si="5"/>
        <v>62.591725584243491</v>
      </c>
      <c r="Y15" s="69">
        <f t="shared" si="5"/>
        <v>63.042523368051235</v>
      </c>
      <c r="Z15" s="69">
        <f t="shared" si="5"/>
        <v>63.670397736706633</v>
      </c>
      <c r="AA15" s="69">
        <f t="shared" si="5"/>
        <v>64.479735894815377</v>
      </c>
      <c r="AB15" s="69">
        <f t="shared" si="5"/>
        <v>65.159050767565844</v>
      </c>
      <c r="AC15" s="69">
        <f t="shared" si="5"/>
        <v>65.772525163454162</v>
      </c>
      <c r="AD15" s="69">
        <f t="shared" si="5"/>
        <v>66.363964798377609</v>
      </c>
      <c r="AE15" s="69">
        <f t="shared" si="5"/>
        <v>66.980351518458008</v>
      </c>
      <c r="AF15" s="69">
        <f t="shared" si="5"/>
        <v>67.604287905090175</v>
      </c>
      <c r="AG15" s="69">
        <f t="shared" si="5"/>
        <v>68.245715388476015</v>
      </c>
      <c r="AH15" s="69">
        <f t="shared" si="5"/>
        <v>68.871488840188093</v>
      </c>
      <c r="AI15" s="69">
        <f t="shared" si="5"/>
        <v>69.49163677829128</v>
      </c>
      <c r="AJ15" s="69">
        <f t="shared" si="5"/>
        <v>70.160948181429546</v>
      </c>
      <c r="AK15" s="69">
        <f t="shared" si="5"/>
        <v>70.8278570291086</v>
      </c>
      <c r="AL15" s="69">
        <f t="shared" si="5"/>
        <v>71.509944652399085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>
      <c r="L16" s="108" t="str">
        <f>'Occ T3'!A18</f>
        <v>31 Science, engineering and technology associate professionals</v>
      </c>
      <c r="M16" s="11">
        <v>8.0026378401912979</v>
      </c>
      <c r="N16" s="11">
        <v>7.8918188838311796</v>
      </c>
      <c r="O16" s="11">
        <v>7.9566676567861299</v>
      </c>
      <c r="P16" s="11">
        <v>8.095071965655249</v>
      </c>
      <c r="Q16" s="11">
        <v>7.5275931013521182</v>
      </c>
      <c r="R16" s="11">
        <v>7.6396337675645283</v>
      </c>
      <c r="S16" s="11">
        <v>7.7316004319096425</v>
      </c>
      <c r="T16" s="11">
        <v>8.4433808137116024</v>
      </c>
      <c r="U16" s="11">
        <v>8.618911060917954</v>
      </c>
      <c r="V16" s="11">
        <v>8.077817744101548</v>
      </c>
      <c r="W16" s="11">
        <v>8.7119007645620972</v>
      </c>
      <c r="X16" s="11">
        <v>7.8154822069366414</v>
      </c>
      <c r="Y16" s="11">
        <v>7.8519011465352007</v>
      </c>
      <c r="Z16" s="11">
        <v>7.8997690159201683</v>
      </c>
      <c r="AA16" s="11">
        <v>7.9659935916920501</v>
      </c>
      <c r="AB16" s="11">
        <v>8.0146156799495873</v>
      </c>
      <c r="AC16" s="11">
        <v>8.058922224212111</v>
      </c>
      <c r="AD16" s="11">
        <v>8.0985750127382072</v>
      </c>
      <c r="AE16" s="11">
        <v>8.1399103325282347</v>
      </c>
      <c r="AF16" s="11">
        <v>8.1736007712211318</v>
      </c>
      <c r="AG16" s="11">
        <v>8.2107619326212209</v>
      </c>
      <c r="AH16" s="11">
        <v>8.2529179019557155</v>
      </c>
      <c r="AI16" s="11">
        <v>8.2928843329108926</v>
      </c>
      <c r="AJ16" s="11">
        <v>8.3325113445622101</v>
      </c>
      <c r="AK16" s="11">
        <v>8.3801076698848807</v>
      </c>
      <c r="AL16" s="11">
        <v>8.4283160725445487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>
      <c r="L17" s="108" t="str">
        <f>'Occ T3'!A19</f>
        <v>32 Health and social care associate professionals</v>
      </c>
      <c r="M17" s="11">
        <v>7.4533977210465165</v>
      </c>
      <c r="N17" s="11">
        <v>9.6402914284411594</v>
      </c>
      <c r="O17" s="11">
        <v>9.6565284049571449</v>
      </c>
      <c r="P17" s="11">
        <v>9.3633055853096199</v>
      </c>
      <c r="Q17" s="11">
        <v>9.4873040570003777</v>
      </c>
      <c r="R17" s="11">
        <v>9.0328897579836376</v>
      </c>
      <c r="S17" s="11">
        <v>10.067518877132974</v>
      </c>
      <c r="T17" s="11">
        <v>10.260715582861986</v>
      </c>
      <c r="U17" s="11">
        <v>10.639545655659223</v>
      </c>
      <c r="V17" s="11">
        <v>10.95672977042833</v>
      </c>
      <c r="W17" s="11">
        <v>11.001883705458065</v>
      </c>
      <c r="X17" s="11">
        <v>16.23493999390395</v>
      </c>
      <c r="Y17" s="11">
        <v>16.581418807358681</v>
      </c>
      <c r="Z17" s="11">
        <v>16.940217895142144</v>
      </c>
      <c r="AA17" s="11">
        <v>17.329627726360158</v>
      </c>
      <c r="AB17" s="11">
        <v>17.680149098148942</v>
      </c>
      <c r="AC17" s="11">
        <v>18.014640162263404</v>
      </c>
      <c r="AD17" s="11">
        <v>18.345791199127664</v>
      </c>
      <c r="AE17" s="11">
        <v>18.688578097210915</v>
      </c>
      <c r="AF17" s="11">
        <v>19.027156568805363</v>
      </c>
      <c r="AG17" s="11">
        <v>19.366276900294569</v>
      </c>
      <c r="AH17" s="11">
        <v>19.690003395597188</v>
      </c>
      <c r="AI17" s="11">
        <v>20.009658742891062</v>
      </c>
      <c r="AJ17" s="11">
        <v>20.357763842913297</v>
      </c>
      <c r="AK17" s="11">
        <v>20.707567011034541</v>
      </c>
      <c r="AL17" s="11">
        <v>21.055821572998454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>
      <c r="L18" s="108" t="str">
        <f>'Occ T3'!A20</f>
        <v>33 Protective service occupations</v>
      </c>
      <c r="M18" s="11">
        <v>4.3847456175225963</v>
      </c>
      <c r="N18" s="11">
        <v>4.9115292651673448</v>
      </c>
      <c r="O18" s="11">
        <v>5.1879496914215508</v>
      </c>
      <c r="P18" s="11">
        <v>4.5116944284687852</v>
      </c>
      <c r="Q18" s="11">
        <v>4.7548846718762015</v>
      </c>
      <c r="R18" s="11">
        <v>4.4444232941510675</v>
      </c>
      <c r="S18" s="11">
        <v>4.8746564590373804</v>
      </c>
      <c r="T18" s="11">
        <v>4.676208807640184</v>
      </c>
      <c r="U18" s="11">
        <v>4.5919056855440168</v>
      </c>
      <c r="V18" s="11">
        <v>4.4270085893151121</v>
      </c>
      <c r="W18" s="11">
        <v>4.6873216411379666</v>
      </c>
      <c r="X18" s="11">
        <v>3.8525308087656853</v>
      </c>
      <c r="Y18" s="11">
        <v>3.8948131279753908</v>
      </c>
      <c r="Z18" s="11">
        <v>3.9428531196105729</v>
      </c>
      <c r="AA18" s="11">
        <v>4.0017784635565326</v>
      </c>
      <c r="AB18" s="11">
        <v>4.0581613546153656</v>
      </c>
      <c r="AC18" s="11">
        <v>4.1010754762309976</v>
      </c>
      <c r="AD18" s="11">
        <v>4.141769151668913</v>
      </c>
      <c r="AE18" s="11">
        <v>4.16946411438804</v>
      </c>
      <c r="AF18" s="11">
        <v>4.2192408933339731</v>
      </c>
      <c r="AG18" s="11">
        <v>4.2556795079149445</v>
      </c>
      <c r="AH18" s="11">
        <v>4.291783265899463</v>
      </c>
      <c r="AI18" s="11">
        <v>4.3167468241689884</v>
      </c>
      <c r="AJ18" s="11">
        <v>4.3694149889279021</v>
      </c>
      <c r="AK18" s="11">
        <v>4.396658789070985</v>
      </c>
      <c r="AL18" s="11">
        <v>4.4519253372123764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>
      <c r="L19" s="108" t="str">
        <f>'Occ T3'!A21</f>
        <v>34 Culture, media and sports occupations</v>
      </c>
      <c r="M19" s="11">
        <v>6.1358370109161919</v>
      </c>
      <c r="N19" s="11">
        <v>5.4715088391413067</v>
      </c>
      <c r="O19" s="11">
        <v>5.9313934480462045</v>
      </c>
      <c r="P19" s="11">
        <v>6.1979401114567665</v>
      </c>
      <c r="Q19" s="11">
        <v>6.3931837189110832</v>
      </c>
      <c r="R19" s="11">
        <v>7.5269975158661087</v>
      </c>
      <c r="S19" s="11">
        <v>6.901704513757366</v>
      </c>
      <c r="T19" s="11">
        <v>7.3001313924002416</v>
      </c>
      <c r="U19" s="11">
        <v>6.6834593502709687</v>
      </c>
      <c r="V19" s="11">
        <v>7.4707121265529306</v>
      </c>
      <c r="W19" s="11">
        <v>7.6956038424600592</v>
      </c>
      <c r="X19" s="11">
        <v>6.5926783745323458</v>
      </c>
      <c r="Y19" s="11">
        <v>6.482429479434499</v>
      </c>
      <c r="Z19" s="11">
        <v>6.4840839145934428</v>
      </c>
      <c r="AA19" s="11">
        <v>6.5572983869707073</v>
      </c>
      <c r="AB19" s="11">
        <v>6.6237757922128777</v>
      </c>
      <c r="AC19" s="11">
        <v>6.6817764358186151</v>
      </c>
      <c r="AD19" s="11">
        <v>6.7373164559830316</v>
      </c>
      <c r="AE19" s="11">
        <v>6.7934236250218554</v>
      </c>
      <c r="AF19" s="11">
        <v>6.8516628953631509</v>
      </c>
      <c r="AG19" s="11">
        <v>6.9163311270490508</v>
      </c>
      <c r="AH19" s="11">
        <v>6.974713838818829</v>
      </c>
      <c r="AI19" s="11">
        <v>7.0407353930975782</v>
      </c>
      <c r="AJ19" s="11">
        <v>7.1101317053477757</v>
      </c>
      <c r="AK19" s="11">
        <v>7.1742310849897191</v>
      </c>
      <c r="AL19" s="11">
        <v>7.2418470917099587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>
      <c r="L20" s="108" t="str">
        <f>'Occ T3'!A22</f>
        <v>35 Business and public service associate professionals</v>
      </c>
      <c r="M20" s="11">
        <v>27.396421917111951</v>
      </c>
      <c r="N20" s="11">
        <v>25.170550804360587</v>
      </c>
      <c r="O20" s="11">
        <v>25.785441661630312</v>
      </c>
      <c r="P20" s="11">
        <v>25.848239309712579</v>
      </c>
      <c r="Q20" s="11">
        <v>26.610150107326568</v>
      </c>
      <c r="R20" s="11">
        <v>27.483441028271098</v>
      </c>
      <c r="S20" s="11">
        <v>27.354400172788644</v>
      </c>
      <c r="T20" s="11">
        <v>28.465554515110441</v>
      </c>
      <c r="U20" s="11">
        <v>28.199689935393778</v>
      </c>
      <c r="V20" s="11">
        <v>27.784113801495693</v>
      </c>
      <c r="W20" s="11">
        <v>28.718892057032409</v>
      </c>
      <c r="X20" s="11">
        <v>28.096094200104869</v>
      </c>
      <c r="Y20" s="11">
        <v>28.231960806747463</v>
      </c>
      <c r="Z20" s="11">
        <v>28.403473791440305</v>
      </c>
      <c r="AA20" s="11">
        <v>28.625037726235938</v>
      </c>
      <c r="AB20" s="11">
        <v>28.782348842639074</v>
      </c>
      <c r="AC20" s="11">
        <v>28.916110864929045</v>
      </c>
      <c r="AD20" s="11">
        <v>29.040512978859791</v>
      </c>
      <c r="AE20" s="11">
        <v>29.188975349308965</v>
      </c>
      <c r="AF20" s="11">
        <v>29.332626776366556</v>
      </c>
      <c r="AG20" s="11">
        <v>29.496665920596229</v>
      </c>
      <c r="AH20" s="11">
        <v>29.662070437916896</v>
      </c>
      <c r="AI20" s="11">
        <v>29.831611485222755</v>
      </c>
      <c r="AJ20" s="11">
        <v>29.991126299678367</v>
      </c>
      <c r="AK20" s="11">
        <v>30.169292474128479</v>
      </c>
      <c r="AL20" s="11">
        <v>30.332034577933754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>
      <c r="L21" s="108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>
      <c r="L22" s="17" t="str">
        <f>'Occ T3'!A24</f>
        <v>Administrative and secretarial occupations</v>
      </c>
      <c r="M22" s="69">
        <f t="shared" ref="M22" si="6">SUM(M23:M24)</f>
        <v>57.839044153626922</v>
      </c>
      <c r="N22" s="69">
        <f>SUM(N23:N24)</f>
        <v>57.908265786389578</v>
      </c>
      <c r="O22" s="69">
        <f t="shared" ref="O22:AL22" si="7">SUM(O23:O24)</f>
        <v>58.656731622355053</v>
      </c>
      <c r="P22" s="69">
        <f t="shared" si="7"/>
        <v>56.430568954100771</v>
      </c>
      <c r="Q22" s="69">
        <f t="shared" si="7"/>
        <v>57.452543673448133</v>
      </c>
      <c r="R22" s="69">
        <f t="shared" si="7"/>
        <v>60.137952735863799</v>
      </c>
      <c r="S22" s="69">
        <f t="shared" si="7"/>
        <v>57.612393248091713</v>
      </c>
      <c r="T22" s="69">
        <f t="shared" si="7"/>
        <v>60.105228409853098</v>
      </c>
      <c r="U22" s="69">
        <f t="shared" si="7"/>
        <v>58.395454884826378</v>
      </c>
      <c r="V22" s="69">
        <f t="shared" si="7"/>
        <v>54.660014915246499</v>
      </c>
      <c r="W22" s="69">
        <f t="shared" si="7"/>
        <v>56.47840028321459</v>
      </c>
      <c r="X22" s="69">
        <f t="shared" si="7"/>
        <v>57.744021619335498</v>
      </c>
      <c r="Y22" s="69">
        <f t="shared" si="7"/>
        <v>57.731774318485094</v>
      </c>
      <c r="Z22" s="69">
        <f t="shared" si="7"/>
        <v>57.668909636307632</v>
      </c>
      <c r="AA22" s="69">
        <f t="shared" si="7"/>
        <v>57.657638665145029</v>
      </c>
      <c r="AB22" s="69">
        <f t="shared" si="7"/>
        <v>57.502694930725809</v>
      </c>
      <c r="AC22" s="69">
        <f t="shared" si="7"/>
        <v>57.20691059603655</v>
      </c>
      <c r="AD22" s="69">
        <f t="shared" si="7"/>
        <v>56.86982049748616</v>
      </c>
      <c r="AE22" s="69">
        <f t="shared" si="7"/>
        <v>56.482319653123184</v>
      </c>
      <c r="AF22" s="69">
        <f t="shared" si="7"/>
        <v>56.078956023378588</v>
      </c>
      <c r="AG22" s="69">
        <f t="shared" si="7"/>
        <v>55.701650999803462</v>
      </c>
      <c r="AH22" s="69">
        <f t="shared" si="7"/>
        <v>55.292920723479483</v>
      </c>
      <c r="AI22" s="69">
        <f t="shared" si="7"/>
        <v>54.87887406699199</v>
      </c>
      <c r="AJ22" s="69">
        <f t="shared" si="7"/>
        <v>54.391678584397226</v>
      </c>
      <c r="AK22" s="69">
        <f t="shared" si="7"/>
        <v>53.927573304210426</v>
      </c>
      <c r="AL22" s="69">
        <f t="shared" si="7"/>
        <v>53.527270896017249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>
      <c r="L23" s="108" t="str">
        <f>'Occ T3'!A25</f>
        <v>41 Administrative occupations</v>
      </c>
      <c r="M23" s="11">
        <v>45.161833904360783</v>
      </c>
      <c r="N23" s="11">
        <v>46.115132316247106</v>
      </c>
      <c r="O23" s="11">
        <v>47.259612307060713</v>
      </c>
      <c r="P23" s="11">
        <v>45.025754410125693</v>
      </c>
      <c r="Q23" s="11">
        <v>46.156371669307241</v>
      </c>
      <c r="R23" s="11">
        <v>49.13839945665805</v>
      </c>
      <c r="S23" s="11">
        <v>47.207392482003854</v>
      </c>
      <c r="T23" s="11">
        <v>48.978127392640424</v>
      </c>
      <c r="U23" s="11">
        <v>47.50528606050662</v>
      </c>
      <c r="V23" s="11">
        <v>45.165151846246381</v>
      </c>
      <c r="W23" s="11">
        <v>47.19806700974938</v>
      </c>
      <c r="X23" s="11">
        <v>48.521030989910265</v>
      </c>
      <c r="Y23" s="11">
        <v>48.62660030461786</v>
      </c>
      <c r="Z23" s="11">
        <v>48.723386233326174</v>
      </c>
      <c r="AA23" s="11">
        <v>48.874779378086927</v>
      </c>
      <c r="AB23" s="11">
        <v>48.934345395177246</v>
      </c>
      <c r="AC23" s="11">
        <v>48.927854583739013</v>
      </c>
      <c r="AD23" s="11">
        <v>48.865408449766718</v>
      </c>
      <c r="AE23" s="11">
        <v>48.781326157439551</v>
      </c>
      <c r="AF23" s="11">
        <v>48.705437401308153</v>
      </c>
      <c r="AG23" s="11">
        <v>48.659816475317555</v>
      </c>
      <c r="AH23" s="11">
        <v>48.595596153685619</v>
      </c>
      <c r="AI23" s="11">
        <v>48.503865639209117</v>
      </c>
      <c r="AJ23" s="11">
        <v>48.40223085676103</v>
      </c>
      <c r="AK23" s="11">
        <v>48.273035160713384</v>
      </c>
      <c r="AL23" s="11">
        <v>48.119806641230511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>
      <c r="L24" s="108" t="str">
        <f>'Occ T3'!A26</f>
        <v>42 Secretarial and related occupations</v>
      </c>
      <c r="M24" s="11">
        <v>12.677210249266141</v>
      </c>
      <c r="N24" s="11">
        <v>11.79313347014247</v>
      </c>
      <c r="O24" s="11">
        <v>11.397119315294336</v>
      </c>
      <c r="P24" s="11">
        <v>11.40481454397508</v>
      </c>
      <c r="Q24" s="11">
        <v>11.296172004140892</v>
      </c>
      <c r="R24" s="11">
        <v>10.999553279205751</v>
      </c>
      <c r="S24" s="11">
        <v>10.405000766087859</v>
      </c>
      <c r="T24" s="11">
        <v>11.127101017212677</v>
      </c>
      <c r="U24" s="11">
        <v>10.89016882431976</v>
      </c>
      <c r="V24" s="11">
        <v>9.4948630690001181</v>
      </c>
      <c r="W24" s="11">
        <v>9.2803332734652102</v>
      </c>
      <c r="X24" s="11">
        <v>9.2229906294252366</v>
      </c>
      <c r="Y24" s="11">
        <v>9.1051740138672326</v>
      </c>
      <c r="Z24" s="11">
        <v>8.9455234029814577</v>
      </c>
      <c r="AA24" s="11">
        <v>8.7828592870581037</v>
      </c>
      <c r="AB24" s="11">
        <v>8.5683495355485668</v>
      </c>
      <c r="AC24" s="11">
        <v>8.2790560122975378</v>
      </c>
      <c r="AD24" s="11">
        <v>8.0044120477194394</v>
      </c>
      <c r="AE24" s="11">
        <v>7.7009934956836306</v>
      </c>
      <c r="AF24" s="11">
        <v>7.3735186220704341</v>
      </c>
      <c r="AG24" s="11">
        <v>7.0418345244859051</v>
      </c>
      <c r="AH24" s="11">
        <v>6.6973245697938655</v>
      </c>
      <c r="AI24" s="11">
        <v>6.3750084277828707</v>
      </c>
      <c r="AJ24" s="11">
        <v>5.9894477276361933</v>
      </c>
      <c r="AK24" s="11">
        <v>5.6545381434970423</v>
      </c>
      <c r="AL24" s="11">
        <v>5.4074642547867375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>
      <c r="L25" s="108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>
      <c r="L26" s="17" t="str">
        <f>'Occ T3'!A28</f>
        <v>Skilled trades occupations</v>
      </c>
      <c r="M26" s="69">
        <f t="shared" ref="M26" si="8">SUM(M27:M30)</f>
        <v>62.283260145895561</v>
      </c>
      <c r="N26" s="69">
        <f>SUM(N27:N30)</f>
        <v>59.671523214064258</v>
      </c>
      <c r="O26" s="69">
        <f t="shared" ref="O26:AL26" si="9">SUM(O27:O30)</f>
        <v>59.696882766051296</v>
      </c>
      <c r="P26" s="69">
        <f t="shared" si="9"/>
        <v>58.625360838856089</v>
      </c>
      <c r="Q26" s="69">
        <f t="shared" si="9"/>
        <v>58.532682149842074</v>
      </c>
      <c r="R26" s="69">
        <f>SUM(R27:R30)</f>
        <v>61.298727794930358</v>
      </c>
      <c r="S26" s="69">
        <f t="shared" si="9"/>
        <v>55.383601143806693</v>
      </c>
      <c r="T26" s="69">
        <f t="shared" si="9"/>
        <v>56.415552069732712</v>
      </c>
      <c r="U26" s="69">
        <f t="shared" si="9"/>
        <v>59.120344981239569</v>
      </c>
      <c r="V26" s="69">
        <f t="shared" si="9"/>
        <v>61.93589069766864</v>
      </c>
      <c r="W26" s="69">
        <f t="shared" si="9"/>
        <v>52.232847099052961</v>
      </c>
      <c r="X26" s="69">
        <f t="shared" si="9"/>
        <v>52.874880207493064</v>
      </c>
      <c r="Y26" s="69">
        <f t="shared" si="9"/>
        <v>52.369211222704322</v>
      </c>
      <c r="Z26" s="69">
        <f t="shared" si="9"/>
        <v>51.82981014845592</v>
      </c>
      <c r="AA26" s="69">
        <f t="shared" si="9"/>
        <v>51.444982855371229</v>
      </c>
      <c r="AB26" s="69">
        <f t="shared" si="9"/>
        <v>51.034079797086527</v>
      </c>
      <c r="AC26" s="69">
        <f t="shared" si="9"/>
        <v>50.583943161947602</v>
      </c>
      <c r="AD26" s="69">
        <f t="shared" si="9"/>
        <v>50.116238067259005</v>
      </c>
      <c r="AE26" s="69">
        <f t="shared" si="9"/>
        <v>49.670859220631577</v>
      </c>
      <c r="AF26" s="69">
        <f t="shared" si="9"/>
        <v>49.221168145506887</v>
      </c>
      <c r="AG26" s="69">
        <f t="shared" si="9"/>
        <v>48.798509243889789</v>
      </c>
      <c r="AH26" s="69">
        <f t="shared" si="9"/>
        <v>48.375355882941307</v>
      </c>
      <c r="AI26" s="69">
        <f t="shared" si="9"/>
        <v>47.968230270654281</v>
      </c>
      <c r="AJ26" s="69">
        <f t="shared" si="9"/>
        <v>47.567652846022774</v>
      </c>
      <c r="AK26" s="69">
        <f t="shared" si="9"/>
        <v>47.163909834682386</v>
      </c>
      <c r="AL26" s="69">
        <f t="shared" si="9"/>
        <v>46.762923727753545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>
      <c r="L27" s="108" t="str">
        <f>'Occ T3'!A29</f>
        <v>51 Skilled agricultural and related trades</v>
      </c>
      <c r="M27" s="11">
        <v>4.0804356626135707</v>
      </c>
      <c r="N27" s="11">
        <v>3.5904698845939786</v>
      </c>
      <c r="O27" s="11">
        <v>4.3377884149111736</v>
      </c>
      <c r="P27" s="11">
        <v>3.2697117352010374</v>
      </c>
      <c r="Q27" s="11">
        <v>3.2934022970348691</v>
      </c>
      <c r="R27" s="11">
        <v>4.3313158907234133</v>
      </c>
      <c r="S27" s="11">
        <v>3.5746174495726146</v>
      </c>
      <c r="T27" s="11">
        <v>3.2279705212636531</v>
      </c>
      <c r="U27" s="11">
        <v>3.8565027737642157</v>
      </c>
      <c r="V27" s="11">
        <v>3.8065912759839784</v>
      </c>
      <c r="W27" s="11">
        <v>3.1931450848658716</v>
      </c>
      <c r="X27" s="11">
        <v>3.000025546873188</v>
      </c>
      <c r="Y27" s="11">
        <v>3.0229955747757788</v>
      </c>
      <c r="Z27" s="11">
        <v>3.0739443956127133</v>
      </c>
      <c r="AA27" s="11">
        <v>3.1338122591334989</v>
      </c>
      <c r="AB27" s="11">
        <v>3.1783302802326965</v>
      </c>
      <c r="AC27" s="11">
        <v>3.2164484202735721</v>
      </c>
      <c r="AD27" s="11">
        <v>3.2540898516374219</v>
      </c>
      <c r="AE27" s="11">
        <v>3.2905192035288575</v>
      </c>
      <c r="AF27" s="11">
        <v>3.3255755888374736</v>
      </c>
      <c r="AG27" s="11">
        <v>3.360905788842615</v>
      </c>
      <c r="AH27" s="11">
        <v>3.3965502655477238</v>
      </c>
      <c r="AI27" s="11">
        <v>3.431174816528475</v>
      </c>
      <c r="AJ27" s="11">
        <v>3.4663555657555989</v>
      </c>
      <c r="AK27" s="11">
        <v>3.5009461510901092</v>
      </c>
      <c r="AL27" s="11">
        <v>3.5350171502669578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>
      <c r="L28" s="108" t="str">
        <f>'Occ T3'!A30</f>
        <v>52 Skilled metal, electrical and electronic trades</v>
      </c>
      <c r="M28" s="11">
        <v>26.66129865315596</v>
      </c>
      <c r="N28" s="11">
        <v>27.83055534218758</v>
      </c>
      <c r="O28" s="11">
        <v>26.20716600711464</v>
      </c>
      <c r="P28" s="11">
        <v>26.962480865521833</v>
      </c>
      <c r="Q28" s="11">
        <v>27.624335576488797</v>
      </c>
      <c r="R28" s="11">
        <v>28.622677836919465</v>
      </c>
      <c r="S28" s="11">
        <v>25.724720859878783</v>
      </c>
      <c r="T28" s="11">
        <v>25.63521216485772</v>
      </c>
      <c r="U28" s="11">
        <v>26.539787075308936</v>
      </c>
      <c r="V28" s="11">
        <v>28.343637186861034</v>
      </c>
      <c r="W28" s="11">
        <v>23.236826282247673</v>
      </c>
      <c r="X28" s="11">
        <v>23.338179841592442</v>
      </c>
      <c r="Y28" s="11">
        <v>23.111060609401886</v>
      </c>
      <c r="Z28" s="11">
        <v>22.912356059530879</v>
      </c>
      <c r="AA28" s="11">
        <v>22.78118011778616</v>
      </c>
      <c r="AB28" s="11">
        <v>22.623948301451765</v>
      </c>
      <c r="AC28" s="11">
        <v>22.441532561883982</v>
      </c>
      <c r="AD28" s="11">
        <v>22.248036254789426</v>
      </c>
      <c r="AE28" s="11">
        <v>22.048520613267414</v>
      </c>
      <c r="AF28" s="11">
        <v>21.84774778894473</v>
      </c>
      <c r="AG28" s="11">
        <v>21.668451555421981</v>
      </c>
      <c r="AH28" s="11">
        <v>21.49455736296817</v>
      </c>
      <c r="AI28" s="11">
        <v>21.333805775260451</v>
      </c>
      <c r="AJ28" s="11">
        <v>21.171406898518121</v>
      </c>
      <c r="AK28" s="11">
        <v>21.006995832243216</v>
      </c>
      <c r="AL28" s="11">
        <v>20.841134342227381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>
      <c r="L29" s="108" t="str">
        <f>'Occ T3'!A31</f>
        <v>53 Skilled construction and building trades</v>
      </c>
      <c r="M29" s="11">
        <v>21.939953590862327</v>
      </c>
      <c r="N29" s="11">
        <v>19.266645040314835</v>
      </c>
      <c r="O29" s="11">
        <v>19.142441405836848</v>
      </c>
      <c r="P29" s="11">
        <v>18.733869847113905</v>
      </c>
      <c r="Q29" s="11">
        <v>17.544630040894642</v>
      </c>
      <c r="R29" s="11">
        <v>18.67563056886091</v>
      </c>
      <c r="S29" s="11">
        <v>16.649291473084322</v>
      </c>
      <c r="T29" s="11">
        <v>17.534964933690937</v>
      </c>
      <c r="U29" s="11">
        <v>19.903460972146664</v>
      </c>
      <c r="V29" s="11">
        <v>21.339556958033437</v>
      </c>
      <c r="W29" s="11">
        <v>17.473473402618112</v>
      </c>
      <c r="X29" s="11">
        <v>17.802074456191345</v>
      </c>
      <c r="Y29" s="11">
        <v>17.553871641391563</v>
      </c>
      <c r="Z29" s="11">
        <v>17.259630879328128</v>
      </c>
      <c r="AA29" s="11">
        <v>17.030632221728105</v>
      </c>
      <c r="AB29" s="11">
        <v>16.813170514329276</v>
      </c>
      <c r="AC29" s="11">
        <v>16.570183066320478</v>
      </c>
      <c r="AD29" s="11">
        <v>16.320714124061801</v>
      </c>
      <c r="AE29" s="11">
        <v>16.090764522811561</v>
      </c>
      <c r="AF29" s="11">
        <v>15.851978954891868</v>
      </c>
      <c r="AG29" s="11">
        <v>15.61182897587652</v>
      </c>
      <c r="AH29" s="11">
        <v>15.366536379950059</v>
      </c>
      <c r="AI29" s="11">
        <v>15.12452646765809</v>
      </c>
      <c r="AJ29" s="11">
        <v>14.88711305207852</v>
      </c>
      <c r="AK29" s="11">
        <v>14.645437009021991</v>
      </c>
      <c r="AL29" s="11">
        <v>14.401581227548823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>
      <c r="L30" s="108" t="str">
        <f>'Occ T3'!A32</f>
        <v>54 Textiles, printing and other skilled trades</v>
      </c>
      <c r="M30" s="11">
        <v>9.6015722392637031</v>
      </c>
      <c r="N30" s="11">
        <v>8.9838529469678647</v>
      </c>
      <c r="O30" s="11">
        <v>10.009486938188639</v>
      </c>
      <c r="P30" s="11">
        <v>9.6592983910193144</v>
      </c>
      <c r="Q30" s="11">
        <v>10.070314235423769</v>
      </c>
      <c r="R30" s="11">
        <v>9.6691034984265638</v>
      </c>
      <c r="S30" s="11">
        <v>9.4349713612709731</v>
      </c>
      <c r="T30" s="11">
        <v>10.017404449920406</v>
      </c>
      <c r="U30" s="11">
        <v>8.8205941600197484</v>
      </c>
      <c r="V30" s="11">
        <v>8.4461052767901954</v>
      </c>
      <c r="W30" s="11">
        <v>8.3294023293213026</v>
      </c>
      <c r="X30" s="11">
        <v>8.7346003628360904</v>
      </c>
      <c r="Y30" s="11">
        <v>8.6812833971350916</v>
      </c>
      <c r="Z30" s="11">
        <v>8.5838788139841959</v>
      </c>
      <c r="AA30" s="11">
        <v>8.4993582567234611</v>
      </c>
      <c r="AB30" s="11">
        <v>8.418630701072793</v>
      </c>
      <c r="AC30" s="11">
        <v>8.3557791134695645</v>
      </c>
      <c r="AD30" s="11">
        <v>8.2933978367703514</v>
      </c>
      <c r="AE30" s="11">
        <v>8.2410548810237412</v>
      </c>
      <c r="AF30" s="11">
        <v>8.1958658128328121</v>
      </c>
      <c r="AG30" s="11">
        <v>8.1573229237486728</v>
      </c>
      <c r="AH30" s="11">
        <v>8.1177118744753507</v>
      </c>
      <c r="AI30" s="11">
        <v>8.0787232112072669</v>
      </c>
      <c r="AJ30" s="11">
        <v>8.0427773296705354</v>
      </c>
      <c r="AK30" s="11">
        <v>8.0105308423270714</v>
      </c>
      <c r="AL30" s="11">
        <v>7.9851910077103829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>
      <c r="L31" s="108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>
      <c r="L32" s="17" t="str">
        <f>'Occ T3'!A34</f>
        <v>Caring, leisure and other service occupations</v>
      </c>
      <c r="M32" s="69">
        <f t="shared" ref="M32:AD32" si="10">SUM(M33:M35)</f>
        <v>49.64955246647142</v>
      </c>
      <c r="N32" s="69">
        <f t="shared" si="10"/>
        <v>48.53703457437981</v>
      </c>
      <c r="O32" s="69">
        <f t="shared" si="10"/>
        <v>48.503523531552936</v>
      </c>
      <c r="P32" s="69">
        <f t="shared" si="10"/>
        <v>48.320399174321778</v>
      </c>
      <c r="Q32" s="69">
        <f t="shared" si="10"/>
        <v>49.428066574357992</v>
      </c>
      <c r="R32" s="69">
        <f t="shared" si="10"/>
        <v>50.478192628686543</v>
      </c>
      <c r="S32" s="69">
        <f t="shared" si="10"/>
        <v>53.914374344641075</v>
      </c>
      <c r="T32" s="69">
        <f t="shared" si="10"/>
        <v>54.303486700278015</v>
      </c>
      <c r="U32" s="69">
        <f t="shared" si="10"/>
        <v>50.660892596097909</v>
      </c>
      <c r="V32" s="69">
        <f t="shared" si="10"/>
        <v>51.457710511437895</v>
      </c>
      <c r="W32" s="69">
        <f t="shared" si="10"/>
        <v>49.337956426134348</v>
      </c>
      <c r="X32" s="69">
        <f t="shared" si="10"/>
        <v>48.583403876039974</v>
      </c>
      <c r="Y32" s="69">
        <f t="shared" si="10"/>
        <v>48.95384355967343</v>
      </c>
      <c r="Z32" s="69">
        <f t="shared" si="10"/>
        <v>49.390367861198946</v>
      </c>
      <c r="AA32" s="69">
        <f t="shared" si="10"/>
        <v>49.893970390201488</v>
      </c>
      <c r="AB32" s="69">
        <f t="shared" si="10"/>
        <v>50.297533097424598</v>
      </c>
      <c r="AC32" s="69">
        <f t="shared" si="10"/>
        <v>50.657407032122521</v>
      </c>
      <c r="AD32" s="69">
        <f t="shared" si="10"/>
        <v>51.004359795648099</v>
      </c>
      <c r="AE32" s="69">
        <f t="shared" ref="AE32" si="11">SUM(AE33:AE35)</f>
        <v>51.366846774996731</v>
      </c>
      <c r="AF32" s="69">
        <f t="shared" ref="AF32" si="12">SUM(AF33:AF35)</f>
        <v>51.718397613232021</v>
      </c>
      <c r="AG32" s="69">
        <f t="shared" ref="AG32" si="13">SUM(AG33:AG35)</f>
        <v>52.065357755670263</v>
      </c>
      <c r="AH32" s="69">
        <f t="shared" ref="AH32" si="14">SUM(AH33:AH35)</f>
        <v>52.427886869853864</v>
      </c>
      <c r="AI32" s="69">
        <f t="shared" ref="AI32" si="15">SUM(AI33:AI35)</f>
        <v>52.783359348656766</v>
      </c>
      <c r="AJ32" s="69">
        <f t="shared" ref="AJ32" si="16">SUM(AJ33:AJ35)</f>
        <v>53.161956781437631</v>
      </c>
      <c r="AK32" s="69">
        <f t="shared" ref="AK32" si="17">SUM(AK33:AK35)</f>
        <v>53.544639588414213</v>
      </c>
      <c r="AL32" s="69">
        <f t="shared" ref="AL32" si="18">SUM(AL33:AL35)</f>
        <v>53.919691330747085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>
      <c r="L33" s="108" t="str">
        <f>'Occ T3'!A35</f>
        <v>61 Caring personal service occupations</v>
      </c>
      <c r="M33" s="11">
        <v>40.033207993116129</v>
      </c>
      <c r="N33" s="11">
        <v>37.959200933851491</v>
      </c>
      <c r="O33" s="11">
        <v>38.406042557451272</v>
      </c>
      <c r="P33" s="11">
        <v>38.25971965827393</v>
      </c>
      <c r="Q33" s="11">
        <v>39.543933941939827</v>
      </c>
      <c r="R33" s="11">
        <v>38.549226321705426</v>
      </c>
      <c r="S33" s="11">
        <v>41.942520287753219</v>
      </c>
      <c r="T33" s="11">
        <v>42.545881975677794</v>
      </c>
      <c r="U33" s="11">
        <v>40.176890723472624</v>
      </c>
      <c r="V33" s="11">
        <v>41.06186937421402</v>
      </c>
      <c r="W33" s="11">
        <v>39.709013980070296</v>
      </c>
      <c r="X33" s="11">
        <v>39.796551981074991</v>
      </c>
      <c r="Y33" s="11">
        <v>40.17282886044498</v>
      </c>
      <c r="Z33" s="11">
        <v>40.600369369332732</v>
      </c>
      <c r="AA33" s="11">
        <v>41.081983670496363</v>
      </c>
      <c r="AB33" s="11">
        <v>41.475231244635403</v>
      </c>
      <c r="AC33" s="11">
        <v>41.831936540313038</v>
      </c>
      <c r="AD33" s="11">
        <v>42.179221100591789</v>
      </c>
      <c r="AE33" s="11">
        <v>42.547585271868698</v>
      </c>
      <c r="AF33" s="11">
        <v>42.905327238838119</v>
      </c>
      <c r="AG33" s="11">
        <v>43.25767196237328</v>
      </c>
      <c r="AH33" s="11">
        <v>43.624314735919803</v>
      </c>
      <c r="AI33" s="11">
        <v>43.986333743748489</v>
      </c>
      <c r="AJ33" s="11">
        <v>44.372229798544247</v>
      </c>
      <c r="AK33" s="11">
        <v>44.758132635091087</v>
      </c>
      <c r="AL33" s="11">
        <v>45.131434884626096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>
      <c r="L34" s="108" t="str">
        <f>'Occ T3'!A36</f>
        <v>62 Leisure, travel and related personal service occupations</v>
      </c>
      <c r="M34" s="11">
        <v>8.9170316585108402</v>
      </c>
      <c r="N34" s="11">
        <v>10.106101074173059</v>
      </c>
      <c r="O34" s="11">
        <v>9.5986225024087659</v>
      </c>
      <c r="P34" s="11">
        <v>9.629906686369667</v>
      </c>
      <c r="Q34" s="11">
        <v>9.3786792670014645</v>
      </c>
      <c r="R34" s="11">
        <v>11.482295485656088</v>
      </c>
      <c r="S34" s="11">
        <v>11.59041013138896</v>
      </c>
      <c r="T34" s="11">
        <v>11.344925892794912</v>
      </c>
      <c r="U34" s="11">
        <v>10.053805296838449</v>
      </c>
      <c r="V34" s="11">
        <v>10.028377892597495</v>
      </c>
      <c r="W34" s="11">
        <v>9.1820078898329758</v>
      </c>
      <c r="X34" s="11">
        <v>8.4633732149837755</v>
      </c>
      <c r="Y34" s="11">
        <v>8.453901237748342</v>
      </c>
      <c r="Z34" s="11">
        <v>8.4589634797514908</v>
      </c>
      <c r="AA34" s="11">
        <v>8.4761662827212447</v>
      </c>
      <c r="AB34" s="11">
        <v>8.4814204479781505</v>
      </c>
      <c r="AC34" s="11">
        <v>8.4810299922760883</v>
      </c>
      <c r="AD34" s="11">
        <v>8.4773581309553396</v>
      </c>
      <c r="AE34" s="11">
        <v>8.4691619641651492</v>
      </c>
      <c r="AF34" s="11">
        <v>8.4584087074777905</v>
      </c>
      <c r="AG34" s="11">
        <v>8.449667638645888</v>
      </c>
      <c r="AH34" s="11">
        <v>8.4422304498937866</v>
      </c>
      <c r="AI34" s="11">
        <v>8.4333252347715515</v>
      </c>
      <c r="AJ34" s="11">
        <v>8.4215295495555402</v>
      </c>
      <c r="AK34" s="11">
        <v>8.4158876783859125</v>
      </c>
      <c r="AL34" s="11">
        <v>8.4132106883947344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>
      <c r="L35" s="108" t="str">
        <f>'Occ T3'!A37</f>
        <v>63 Community and civil enforcement occupations</v>
      </c>
      <c r="M35" s="11">
        <v>0.69931281484444596</v>
      </c>
      <c r="N35" s="11">
        <v>0.47173256635525912</v>
      </c>
      <c r="O35" s="11">
        <v>0.49885847169289999</v>
      </c>
      <c r="P35" s="11">
        <v>0.43077282967818464</v>
      </c>
      <c r="Q35" s="11">
        <v>0.50545336541669728</v>
      </c>
      <c r="R35" s="11">
        <v>0.44667082132503066</v>
      </c>
      <c r="S35" s="11">
        <v>0.38144392549890038</v>
      </c>
      <c r="T35" s="11">
        <v>0.4126788318053074</v>
      </c>
      <c r="U35" s="11">
        <v>0.43019657578683407</v>
      </c>
      <c r="V35" s="11">
        <v>0.3674632446263803</v>
      </c>
      <c r="W35" s="11">
        <v>0.44693455623107448</v>
      </c>
      <c r="X35" s="11">
        <v>0.32347867998120783</v>
      </c>
      <c r="Y35" s="11">
        <v>0.3271134614801115</v>
      </c>
      <c r="Z35" s="11">
        <v>0.33103501211472541</v>
      </c>
      <c r="AA35" s="11">
        <v>0.33582043698388281</v>
      </c>
      <c r="AB35" s="11">
        <v>0.34088140481104534</v>
      </c>
      <c r="AC35" s="11">
        <v>0.34444049953339206</v>
      </c>
      <c r="AD35" s="11">
        <v>0.34778056410097186</v>
      </c>
      <c r="AE35" s="11">
        <v>0.3500995389628801</v>
      </c>
      <c r="AF35" s="11">
        <v>0.35466166691610529</v>
      </c>
      <c r="AG35" s="11">
        <v>0.35801815465109366</v>
      </c>
      <c r="AH35" s="11">
        <v>0.36134168404027395</v>
      </c>
      <c r="AI35" s="11">
        <v>0.3637003701367264</v>
      </c>
      <c r="AJ35" s="11">
        <v>0.36819743333784483</v>
      </c>
      <c r="AK35" s="11">
        <v>0.3706192749372143</v>
      </c>
      <c r="AL35" s="11">
        <v>0.37504575772625592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>
      <c r="L36" s="108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69"/>
      <c r="AF36" s="69"/>
      <c r="AG36" s="69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>
      <c r="L37" s="17" t="str">
        <f>'Occ T3'!A39</f>
        <v>Sales and customer service occupations</v>
      </c>
      <c r="M37" s="69">
        <f>SUM(M38:M39)</f>
        <v>41.378814923302357</v>
      </c>
      <c r="N37" s="69">
        <f t="shared" ref="N37:AL37" si="19">SUM(N38:N39)</f>
        <v>42.501680808368974</v>
      </c>
      <c r="O37" s="69">
        <f t="shared" si="19"/>
        <v>43.753137498169863</v>
      </c>
      <c r="P37" s="69">
        <f t="shared" si="19"/>
        <v>42.95877828728355</v>
      </c>
      <c r="Q37" s="69">
        <f t="shared" si="19"/>
        <v>44.416715983540065</v>
      </c>
      <c r="R37" s="69">
        <f t="shared" si="19"/>
        <v>43.312490842090227</v>
      </c>
      <c r="S37" s="69">
        <f t="shared" si="19"/>
        <v>42.182400288866944</v>
      </c>
      <c r="T37" s="69">
        <f t="shared" si="19"/>
        <v>43.50900538000424</v>
      </c>
      <c r="U37" s="69">
        <f t="shared" si="19"/>
        <v>41.689892449189003</v>
      </c>
      <c r="V37" s="69">
        <f t="shared" si="19"/>
        <v>39.584257231886966</v>
      </c>
      <c r="W37" s="69">
        <f t="shared" si="19"/>
        <v>39.339785940793128</v>
      </c>
      <c r="X37" s="69">
        <f t="shared" si="19"/>
        <v>39.146077653583866</v>
      </c>
      <c r="Y37" s="69">
        <f t="shared" si="19"/>
        <v>39.197954041865664</v>
      </c>
      <c r="Z37" s="69">
        <f t="shared" si="19"/>
        <v>39.278584232069051</v>
      </c>
      <c r="AA37" s="69">
        <f t="shared" si="19"/>
        <v>39.376819458656975</v>
      </c>
      <c r="AB37" s="69">
        <f t="shared" si="19"/>
        <v>39.372468047859556</v>
      </c>
      <c r="AC37" s="69">
        <f t="shared" si="19"/>
        <v>39.332721088640106</v>
      </c>
      <c r="AD37" s="69">
        <f t="shared" si="19"/>
        <v>39.280408719948845</v>
      </c>
      <c r="AE37" s="69">
        <f t="shared" si="19"/>
        <v>39.235660891600716</v>
      </c>
      <c r="AF37" s="69">
        <f t="shared" si="19"/>
        <v>39.193221298457175</v>
      </c>
      <c r="AG37" s="69">
        <f t="shared" si="19"/>
        <v>39.15468719099627</v>
      </c>
      <c r="AH37" s="69">
        <f t="shared" si="19"/>
        <v>39.162383529359197</v>
      </c>
      <c r="AI37" s="69">
        <f t="shared" si="19"/>
        <v>39.158806337212866</v>
      </c>
      <c r="AJ37" s="69">
        <f t="shared" si="19"/>
        <v>39.154767142647671</v>
      </c>
      <c r="AK37" s="69">
        <f t="shared" si="19"/>
        <v>39.129786276896972</v>
      </c>
      <c r="AL37" s="69">
        <f t="shared" si="19"/>
        <v>39.081082804049579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>
      <c r="L38" s="108" t="str">
        <f>'Occ T3'!A40</f>
        <v>71 Sales occupations</v>
      </c>
      <c r="M38" s="11">
        <v>33.039305303843605</v>
      </c>
      <c r="N38" s="11">
        <v>34.189149003085035</v>
      </c>
      <c r="O38" s="11">
        <v>35.184989148868588</v>
      </c>
      <c r="P38" s="11">
        <v>34.562793579659036</v>
      </c>
      <c r="Q38" s="11">
        <v>36.447825021672372</v>
      </c>
      <c r="R38" s="11">
        <v>34.223800198352485</v>
      </c>
      <c r="S38" s="11">
        <v>33.259163684145626</v>
      </c>
      <c r="T38" s="11">
        <v>33.681160277601087</v>
      </c>
      <c r="U38" s="11">
        <v>32.137963975215577</v>
      </c>
      <c r="V38" s="11">
        <v>30.736255514037811</v>
      </c>
      <c r="W38" s="11">
        <v>30.25093913476638</v>
      </c>
      <c r="X38" s="11">
        <v>29.489034465291272</v>
      </c>
      <c r="Y38" s="11">
        <v>29.40531029337653</v>
      </c>
      <c r="Z38" s="11">
        <v>29.361841694069234</v>
      </c>
      <c r="AA38" s="11">
        <v>29.329205994652618</v>
      </c>
      <c r="AB38" s="11">
        <v>29.213833101714457</v>
      </c>
      <c r="AC38" s="11">
        <v>29.072678331907959</v>
      </c>
      <c r="AD38" s="11">
        <v>28.916500607453717</v>
      </c>
      <c r="AE38" s="11">
        <v>28.761276427920073</v>
      </c>
      <c r="AF38" s="11">
        <v>28.605284093976394</v>
      </c>
      <c r="AG38" s="11">
        <v>28.450220185999903</v>
      </c>
      <c r="AH38" s="11">
        <v>28.348009535349256</v>
      </c>
      <c r="AI38" s="11">
        <v>28.236599049586736</v>
      </c>
      <c r="AJ38" s="11">
        <v>28.118086392221503</v>
      </c>
      <c r="AK38" s="11">
        <v>27.979102179651765</v>
      </c>
      <c r="AL38" s="11">
        <v>27.813348952284226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>
      <c r="L39" s="108" t="str">
        <f>'Occ T3'!A41</f>
        <v>72 Customer service occupations</v>
      </c>
      <c r="M39" s="11">
        <v>8.3395096194587559</v>
      </c>
      <c r="N39" s="11">
        <v>8.3125318052839425</v>
      </c>
      <c r="O39" s="11">
        <v>8.5681483493012749</v>
      </c>
      <c r="P39" s="11">
        <v>8.395984707624514</v>
      </c>
      <c r="Q39" s="11">
        <v>7.9688909618676904</v>
      </c>
      <c r="R39" s="11">
        <v>9.0886906437377402</v>
      </c>
      <c r="S39" s="11">
        <v>8.9232366047213176</v>
      </c>
      <c r="T39" s="11">
        <v>9.8278451024031526</v>
      </c>
      <c r="U39" s="11">
        <v>9.551928473973426</v>
      </c>
      <c r="V39" s="11">
        <v>8.8480017178491579</v>
      </c>
      <c r="W39" s="11">
        <v>9.088846806026746</v>
      </c>
      <c r="X39" s="11">
        <v>9.6570431882925938</v>
      </c>
      <c r="Y39" s="11">
        <v>9.792643748489132</v>
      </c>
      <c r="Z39" s="11">
        <v>9.9167425379998182</v>
      </c>
      <c r="AA39" s="11">
        <v>10.047613464004355</v>
      </c>
      <c r="AB39" s="11">
        <v>10.158634946145103</v>
      </c>
      <c r="AC39" s="11">
        <v>10.260042756732146</v>
      </c>
      <c r="AD39" s="11">
        <v>10.363908112495128</v>
      </c>
      <c r="AE39" s="11">
        <v>10.474384463680645</v>
      </c>
      <c r="AF39" s="11">
        <v>10.587937204480779</v>
      </c>
      <c r="AG39" s="11">
        <v>10.704467004996365</v>
      </c>
      <c r="AH39" s="11">
        <v>10.814373994009941</v>
      </c>
      <c r="AI39" s="11">
        <v>10.922207287626129</v>
      </c>
      <c r="AJ39" s="11">
        <v>11.036680750426164</v>
      </c>
      <c r="AK39" s="11">
        <v>11.150684097245206</v>
      </c>
      <c r="AL39" s="11">
        <v>11.267733851765355</v>
      </c>
      <c r="AM39" s="11"/>
    </row>
    <row r="40" spans="12:64">
      <c r="L40" s="108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69"/>
      <c r="AF40" s="69"/>
      <c r="AG40" s="69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>
      <c r="L41" s="17" t="str">
        <f>'Occ T3'!A43</f>
        <v>Process, plant and machine operatives</v>
      </c>
      <c r="M41" s="69">
        <f>SUM(M42:M43)</f>
        <v>42.973045681419535</v>
      </c>
      <c r="N41" s="69">
        <f t="shared" ref="N41" si="20">SUM(N42:N43)</f>
        <v>40.858503899412568</v>
      </c>
      <c r="O41" s="69">
        <f t="shared" ref="O41" si="21">SUM(O42:O43)</f>
        <v>43.603423611850559</v>
      </c>
      <c r="P41" s="69">
        <f t="shared" ref="P41" si="22">SUM(P42:P43)</f>
        <v>42.297145873867834</v>
      </c>
      <c r="Q41" s="69">
        <f t="shared" ref="Q41" si="23">SUM(Q42:Q43)</f>
        <v>44.404439947504329</v>
      </c>
      <c r="R41" s="69">
        <f t="shared" ref="R41" si="24">SUM(R42:R43)</f>
        <v>47.140684059777129</v>
      </c>
      <c r="S41" s="69">
        <f t="shared" ref="S41" si="25">SUM(S42:S43)</f>
        <v>45.758727910641014</v>
      </c>
      <c r="T41" s="69">
        <f t="shared" ref="T41" si="26">SUM(T42:T43)</f>
        <v>45.111181661888381</v>
      </c>
      <c r="U41" s="69">
        <f t="shared" ref="U41" si="27">SUM(U42:U43)</f>
        <v>46.622432564123997</v>
      </c>
      <c r="V41" s="69">
        <f t="shared" ref="V41" si="28">SUM(V42:V43)</f>
        <v>46.572468845695909</v>
      </c>
      <c r="W41" s="69">
        <f t="shared" ref="W41" si="29">SUM(W42:W43)</f>
        <v>40.358374305998041</v>
      </c>
      <c r="X41" s="69">
        <f t="shared" ref="X41" si="30">SUM(X42:X43)</f>
        <v>42.152648695568132</v>
      </c>
      <c r="Y41" s="69">
        <f t="shared" ref="Y41" si="31">SUM(Y42:Y43)</f>
        <v>41.985973408861739</v>
      </c>
      <c r="Z41" s="69">
        <f t="shared" ref="Z41" si="32">SUM(Z42:Z43)</f>
        <v>41.876378434988908</v>
      </c>
      <c r="AA41" s="69">
        <f t="shared" ref="AA41" si="33">SUM(AA42:AA43)</f>
        <v>41.849929579412247</v>
      </c>
      <c r="AB41" s="69">
        <f t="shared" ref="AB41" si="34">SUM(AB42:AB43)</f>
        <v>41.728305575825772</v>
      </c>
      <c r="AC41" s="69">
        <f t="shared" ref="AC41" si="35">SUM(AC42:AC43)</f>
        <v>41.619545922873002</v>
      </c>
      <c r="AD41" s="69">
        <f t="shared" ref="AD41" si="36">SUM(AD42:AD43)</f>
        <v>41.491040503442491</v>
      </c>
      <c r="AE41" s="69">
        <f t="shared" ref="AE41" si="37">SUM(AE42:AE43)</f>
        <v>41.351075007282233</v>
      </c>
      <c r="AF41" s="69">
        <f t="shared" ref="AF41" si="38">SUM(AF42:AF43)</f>
        <v>41.192511409106501</v>
      </c>
      <c r="AG41" s="69">
        <f t="shared" ref="AG41" si="39">SUM(AG42:AG43)</f>
        <v>41.050637321667011</v>
      </c>
      <c r="AH41" s="69">
        <f t="shared" ref="AH41" si="40">SUM(AH42:AH43)</f>
        <v>40.890185200904028</v>
      </c>
      <c r="AI41" s="69">
        <f t="shared" ref="AI41" si="41">SUM(AI42:AI43)</f>
        <v>40.743806502203341</v>
      </c>
      <c r="AJ41" s="69">
        <f t="shared" ref="AJ41" si="42">SUM(AJ42:AJ43)</f>
        <v>40.587353731846378</v>
      </c>
      <c r="AK41" s="69">
        <f t="shared" ref="AK41" si="43">SUM(AK42:AK43)</f>
        <v>40.401247502090484</v>
      </c>
      <c r="AL41" s="69">
        <f t="shared" ref="AL41" si="44">SUM(AL42:AL43)</f>
        <v>40.199737732609378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>
      <c r="L42" s="108" t="str">
        <f>'Occ T3'!A44</f>
        <v>81 Process, plant and machine operatives</v>
      </c>
      <c r="M42" s="11">
        <v>22.556040057468323</v>
      </c>
      <c r="N42" s="11">
        <v>21.419891198961672</v>
      </c>
      <c r="O42" s="11">
        <v>21.667953124371614</v>
      </c>
      <c r="P42" s="11">
        <v>22.57750804022017</v>
      </c>
      <c r="Q42" s="11">
        <v>23.080935372543745</v>
      </c>
      <c r="R42" s="11">
        <v>23.01767694669358</v>
      </c>
      <c r="S42" s="11">
        <v>21.877360281524926</v>
      </c>
      <c r="T42" s="11">
        <v>22.023418013640295</v>
      </c>
      <c r="U42" s="11">
        <v>22.659305985348212</v>
      </c>
      <c r="V42" s="11">
        <v>21.737054143198129</v>
      </c>
      <c r="W42" s="11">
        <v>18.382917992462492</v>
      </c>
      <c r="X42" s="11">
        <v>19.559552072302932</v>
      </c>
      <c r="Y42" s="11">
        <v>19.398774453526308</v>
      </c>
      <c r="Z42" s="11">
        <v>19.246292744552036</v>
      </c>
      <c r="AA42" s="11">
        <v>19.147109959960545</v>
      </c>
      <c r="AB42" s="11">
        <v>18.988071519329377</v>
      </c>
      <c r="AC42" s="11">
        <v>18.868385278760655</v>
      </c>
      <c r="AD42" s="11">
        <v>18.739676010248846</v>
      </c>
      <c r="AE42" s="11">
        <v>18.601664119330756</v>
      </c>
      <c r="AF42" s="11">
        <v>18.44890236311058</v>
      </c>
      <c r="AG42" s="11">
        <v>18.30414557743045</v>
      </c>
      <c r="AH42" s="11">
        <v>18.152541136717932</v>
      </c>
      <c r="AI42" s="11">
        <v>18.013878744319442</v>
      </c>
      <c r="AJ42" s="11">
        <v>17.868412596281225</v>
      </c>
      <c r="AK42" s="11">
        <v>17.697197779534473</v>
      </c>
      <c r="AL42" s="11">
        <v>17.514325366127888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>
      <c r="L43" s="108" t="str">
        <f>'Occ T3'!A45</f>
        <v>82 Transport and mobile machine drivers and operatives</v>
      </c>
      <c r="M43" s="11">
        <v>20.417005623951216</v>
      </c>
      <c r="N43" s="11">
        <v>19.438612700450893</v>
      </c>
      <c r="O43" s="11">
        <v>21.935470487478948</v>
      </c>
      <c r="P43" s="11">
        <v>19.71963783364766</v>
      </c>
      <c r="Q43" s="11">
        <v>21.32350457496058</v>
      </c>
      <c r="R43" s="11">
        <v>24.123007113083549</v>
      </c>
      <c r="S43" s="11">
        <v>23.881367629116085</v>
      </c>
      <c r="T43" s="11">
        <v>23.087763648248085</v>
      </c>
      <c r="U43" s="11">
        <v>23.963126578775782</v>
      </c>
      <c r="V43" s="11">
        <v>24.835414702497779</v>
      </c>
      <c r="W43" s="11">
        <v>21.975456313535553</v>
      </c>
      <c r="X43" s="11">
        <v>22.593096623265204</v>
      </c>
      <c r="Y43" s="11">
        <v>22.587198955335431</v>
      </c>
      <c r="Z43" s="11">
        <v>22.630085690436871</v>
      </c>
      <c r="AA43" s="11">
        <v>22.702819619451699</v>
      </c>
      <c r="AB43" s="11">
        <v>22.740234056496391</v>
      </c>
      <c r="AC43" s="11">
        <v>22.751160644112346</v>
      </c>
      <c r="AD43" s="11">
        <v>22.751364493193641</v>
      </c>
      <c r="AE43" s="11">
        <v>22.74941088795148</v>
      </c>
      <c r="AF43" s="11">
        <v>22.743609045995921</v>
      </c>
      <c r="AG43" s="11">
        <v>22.746491744236565</v>
      </c>
      <c r="AH43" s="11">
        <v>22.737644064186092</v>
      </c>
      <c r="AI43" s="11">
        <v>22.729927757883896</v>
      </c>
      <c r="AJ43" s="11">
        <v>22.718941135565149</v>
      </c>
      <c r="AK43" s="11">
        <v>22.704049722556011</v>
      </c>
      <c r="AL43" s="11">
        <v>22.68541236648149</v>
      </c>
      <c r="AM43" s="11"/>
    </row>
    <row r="44" spans="12:64">
      <c r="L44" s="108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69"/>
      <c r="AF44" s="69"/>
      <c r="AG44" s="69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>
      <c r="L45" s="17" t="str">
        <f>'Occ T3'!A47</f>
        <v>Elementary occupations</v>
      </c>
      <c r="M45" s="69">
        <f>SUM(M46:M47)</f>
        <v>56.558240212106661</v>
      </c>
      <c r="N45" s="69">
        <f t="shared" ref="N45" si="45">SUM(N46:N47)</f>
        <v>53.287801355768877</v>
      </c>
      <c r="O45" s="69">
        <f t="shared" ref="O45" si="46">SUM(O46:O47)</f>
        <v>54.241899859391033</v>
      </c>
      <c r="P45" s="69">
        <f t="shared" ref="P45" si="47">SUM(P46:P47)</f>
        <v>51.361914172153973</v>
      </c>
      <c r="Q45" s="69">
        <f t="shared" ref="Q45" si="48">SUM(Q46:Q47)</f>
        <v>52.547623466111517</v>
      </c>
      <c r="R45" s="69">
        <f t="shared" ref="R45" si="49">SUM(R46:R47)</f>
        <v>56.959938314054895</v>
      </c>
      <c r="S45" s="69">
        <f t="shared" ref="S45" si="50">SUM(S46:S47)</f>
        <v>56.285078773834478</v>
      </c>
      <c r="T45" s="69">
        <f t="shared" ref="T45" si="51">SUM(T46:T47)</f>
        <v>55.139332336312677</v>
      </c>
      <c r="U45" s="69">
        <f t="shared" ref="U45" si="52">SUM(U46:U47)</f>
        <v>53.46168716327859</v>
      </c>
      <c r="V45" s="69">
        <f t="shared" ref="V45" si="53">SUM(V46:V47)</f>
        <v>51.598951207068083</v>
      </c>
      <c r="W45" s="69">
        <f t="shared" ref="W45" si="54">SUM(W46:W47)</f>
        <v>46.286833202091827</v>
      </c>
      <c r="X45" s="69">
        <f t="shared" ref="X45" si="55">SUM(X46:X47)</f>
        <v>48.966539075399957</v>
      </c>
      <c r="Y45" s="69">
        <f t="shared" ref="Y45" si="56">SUM(Y46:Y47)</f>
        <v>48.840048373207026</v>
      </c>
      <c r="Z45" s="69">
        <f t="shared" ref="Z45" si="57">SUM(Z46:Z47)</f>
        <v>48.605736996396629</v>
      </c>
      <c r="AA45" s="69">
        <f t="shared" ref="AA45" si="58">SUM(AA46:AA47)</f>
        <v>48.407669690159487</v>
      </c>
      <c r="AB45" s="69">
        <f t="shared" ref="AB45" si="59">SUM(AB46:AB47)</f>
        <v>48.234655478640505</v>
      </c>
      <c r="AC45" s="69">
        <f t="shared" ref="AC45" si="60">SUM(AC46:AC47)</f>
        <v>48.000242439216322</v>
      </c>
      <c r="AD45" s="69">
        <f t="shared" ref="AD45" si="61">SUM(AD46:AD47)</f>
        <v>47.696719246926321</v>
      </c>
      <c r="AE45" s="69">
        <f t="shared" ref="AE45" si="62">SUM(AE46:AE47)</f>
        <v>47.422375452955499</v>
      </c>
      <c r="AF45" s="69">
        <f t="shared" ref="AF45" si="63">SUM(AF46:AF47)</f>
        <v>47.167810334714233</v>
      </c>
      <c r="AG45" s="69">
        <f t="shared" ref="AG45" si="64">SUM(AG46:AG47)</f>
        <v>46.942197126864194</v>
      </c>
      <c r="AH45" s="69">
        <f t="shared" ref="AH45" si="65">SUM(AH46:AH47)</f>
        <v>46.698404565753712</v>
      </c>
      <c r="AI45" s="69">
        <f t="shared" ref="AI45" si="66">SUM(AI46:AI47)</f>
        <v>46.497425531660028</v>
      </c>
      <c r="AJ45" s="69">
        <f t="shared" ref="AJ45" si="67">SUM(AJ46:AJ47)</f>
        <v>46.311072599276187</v>
      </c>
      <c r="AK45" s="69">
        <f t="shared" ref="AK45" si="68">SUM(AK46:AK47)</f>
        <v>46.136375799057404</v>
      </c>
      <c r="AL45" s="69">
        <f t="shared" ref="AL45" si="69">SUM(AL46:AL47)</f>
        <v>45.977952071338812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>
      <c r="L46" s="108" t="str">
        <f>'Occ T3'!A48</f>
        <v>91 Elementary trades and related occupations</v>
      </c>
      <c r="M46" s="11">
        <v>9.9359847376257022</v>
      </c>
      <c r="N46" s="11">
        <v>9.6203569958692263</v>
      </c>
      <c r="O46" s="11">
        <v>9.7502072772979478</v>
      </c>
      <c r="P46" s="11">
        <v>9.6280714033618509</v>
      </c>
      <c r="Q46" s="11">
        <v>10.441831648369302</v>
      </c>
      <c r="R46" s="11">
        <v>11.487443580203085</v>
      </c>
      <c r="S46" s="11">
        <v>11.160257153468608</v>
      </c>
      <c r="T46" s="11">
        <v>10.041157722278529</v>
      </c>
      <c r="U46" s="11">
        <v>10.375070492135515</v>
      </c>
      <c r="V46" s="11">
        <v>9.8320405541299714</v>
      </c>
      <c r="W46" s="11">
        <v>8.59789452449556</v>
      </c>
      <c r="X46" s="11">
        <v>14.311464864783689</v>
      </c>
      <c r="Y46" s="11">
        <v>14.449651013489465</v>
      </c>
      <c r="Z46" s="11">
        <v>14.620743365617923</v>
      </c>
      <c r="AA46" s="11">
        <v>14.820370132033752</v>
      </c>
      <c r="AB46" s="11">
        <v>15.010512028853473</v>
      </c>
      <c r="AC46" s="11">
        <v>15.180486136732771</v>
      </c>
      <c r="AD46" s="11">
        <v>15.331664024007418</v>
      </c>
      <c r="AE46" s="11">
        <v>15.47222970714787</v>
      </c>
      <c r="AF46" s="11">
        <v>15.603464862428755</v>
      </c>
      <c r="AG46" s="11">
        <v>15.733475888513647</v>
      </c>
      <c r="AH46" s="11">
        <v>15.855152250746412</v>
      </c>
      <c r="AI46" s="11">
        <v>15.999263723713677</v>
      </c>
      <c r="AJ46" s="11">
        <v>16.156340967408482</v>
      </c>
      <c r="AK46" s="11">
        <v>16.327213482031649</v>
      </c>
      <c r="AL46" s="11">
        <v>16.496787208058887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>
      <c r="L47" s="108" t="str">
        <f>'Occ T3'!A49</f>
        <v>92 Elementary administration and service occupations</v>
      </c>
      <c r="M47" s="11">
        <v>46.622255474480959</v>
      </c>
      <c r="N47" s="11">
        <v>43.667444359899648</v>
      </c>
      <c r="O47" s="11">
        <v>44.491692582093087</v>
      </c>
      <c r="P47" s="11">
        <v>41.733842768792123</v>
      </c>
      <c r="Q47" s="11">
        <v>42.105791817742215</v>
      </c>
      <c r="R47" s="11">
        <v>45.472494733851811</v>
      </c>
      <c r="S47" s="11">
        <v>45.124821620365871</v>
      </c>
      <c r="T47" s="11">
        <v>45.09817461403415</v>
      </c>
      <c r="U47" s="11">
        <v>43.086616671143076</v>
      </c>
      <c r="V47" s="11">
        <v>41.766910652938115</v>
      </c>
      <c r="W47" s="11">
        <v>37.688938677596269</v>
      </c>
      <c r="X47" s="11">
        <v>34.65507421061627</v>
      </c>
      <c r="Y47" s="11">
        <v>34.390397359717561</v>
      </c>
      <c r="Z47" s="11">
        <v>33.98499363077871</v>
      </c>
      <c r="AA47" s="11">
        <v>33.587299558125736</v>
      </c>
      <c r="AB47" s="11">
        <v>33.224143449787029</v>
      </c>
      <c r="AC47" s="11">
        <v>32.819756302483555</v>
      </c>
      <c r="AD47" s="11">
        <v>32.365055222918905</v>
      </c>
      <c r="AE47" s="11">
        <v>31.950145745807632</v>
      </c>
      <c r="AF47" s="11">
        <v>31.564345472285474</v>
      </c>
      <c r="AG47" s="11">
        <v>31.208721238350545</v>
      </c>
      <c r="AH47" s="11">
        <v>30.843252315007302</v>
      </c>
      <c r="AI47" s="11">
        <v>30.498161807946353</v>
      </c>
      <c r="AJ47" s="11">
        <v>30.154731631867705</v>
      </c>
      <c r="AK47" s="11">
        <v>29.809162317025759</v>
      </c>
      <c r="AL47" s="11">
        <v>29.481164863279925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>
      <c r="L48" s="108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69"/>
      <c r="AF48" s="69"/>
      <c r="AG48" s="69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>
      <c r="L49" s="17" t="str">
        <f>'Occ T3'!A51</f>
        <v>All occupations</v>
      </c>
      <c r="M49" s="69">
        <f t="shared" ref="M49:AD49" si="70">SUM(M5,M9,M15,M22,M26,M32,M37,M41,M45)</f>
        <v>486.12400000000008</v>
      </c>
      <c r="N49" s="69">
        <f t="shared" si="70"/>
        <v>480.09300000000013</v>
      </c>
      <c r="O49" s="69">
        <f t="shared" si="70"/>
        <v>487.18800000000005</v>
      </c>
      <c r="P49" s="69">
        <f t="shared" si="70"/>
        <v>480.6479999999998</v>
      </c>
      <c r="Q49" s="69">
        <f t="shared" si="70"/>
        <v>488.96499999999997</v>
      </c>
      <c r="R49" s="69">
        <f t="shared" si="70"/>
        <v>505.56200000000013</v>
      </c>
      <c r="S49" s="69">
        <f t="shared" si="70"/>
        <v>503.93900000000008</v>
      </c>
      <c r="T49" s="69">
        <f t="shared" si="70"/>
        <v>512.15300000000002</v>
      </c>
      <c r="U49" s="69">
        <f t="shared" si="70"/>
        <v>510.73500000000018</v>
      </c>
      <c r="V49" s="69">
        <f t="shared" si="70"/>
        <v>509.93099999999964</v>
      </c>
      <c r="W49" s="69">
        <f t="shared" si="70"/>
        <v>496.19399999999968</v>
      </c>
      <c r="X49" s="69">
        <f t="shared" si="70"/>
        <v>500.11499999999967</v>
      </c>
      <c r="Y49" s="69">
        <f t="shared" si="70"/>
        <v>501.57899999999967</v>
      </c>
      <c r="Z49" s="69">
        <f t="shared" si="70"/>
        <v>503.4490000000003</v>
      </c>
      <c r="AA49" s="69">
        <f t="shared" si="70"/>
        <v>506.20599999999996</v>
      </c>
      <c r="AB49" s="69">
        <f t="shared" si="70"/>
        <v>508.1280000000001</v>
      </c>
      <c r="AC49" s="69">
        <f t="shared" si="70"/>
        <v>509.56499999999954</v>
      </c>
      <c r="AD49" s="69">
        <f t="shared" si="70"/>
        <v>510.77499999999998</v>
      </c>
      <c r="AE49" s="69">
        <f t="shared" ref="AE49:AL49" si="71">SUM(AE5,AE9,AE15,AE22,AE26,AE32,AE37,AE41,AE45)</f>
        <v>511.99799999999988</v>
      </c>
      <c r="AF49" s="69">
        <f t="shared" si="71"/>
        <v>513.22200000000043</v>
      </c>
      <c r="AG49" s="69">
        <f t="shared" si="71"/>
        <v>514.65600000000006</v>
      </c>
      <c r="AH49" s="69">
        <f t="shared" si="71"/>
        <v>516.0630000000001</v>
      </c>
      <c r="AI49" s="69">
        <f t="shared" si="71"/>
        <v>517.49700000000007</v>
      </c>
      <c r="AJ49" s="69">
        <f t="shared" si="71"/>
        <v>518.96699999999964</v>
      </c>
      <c r="AK49" s="69">
        <f t="shared" si="71"/>
        <v>520.44200000000012</v>
      </c>
      <c r="AL49" s="69">
        <f t="shared" si="71"/>
        <v>521.94399999999951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>
      <c r="L50" s="108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>
      <c r="L51" s="1" t="s">
        <v>168</v>
      </c>
      <c r="M51" s="38">
        <f>M4</f>
        <v>2010</v>
      </c>
      <c r="N51" s="38">
        <f t="shared" ref="N51:AL51" si="72">N4</f>
        <v>2011</v>
      </c>
      <c r="O51" s="38">
        <f t="shared" si="72"/>
        <v>2012</v>
      </c>
      <c r="P51" s="38">
        <f t="shared" si="72"/>
        <v>2013</v>
      </c>
      <c r="Q51" s="38">
        <f t="shared" si="72"/>
        <v>2014</v>
      </c>
      <c r="R51" s="38">
        <f t="shared" si="72"/>
        <v>2015</v>
      </c>
      <c r="S51" s="38">
        <f t="shared" si="72"/>
        <v>2016</v>
      </c>
      <c r="T51" s="38">
        <f t="shared" si="72"/>
        <v>2017</v>
      </c>
      <c r="U51" s="38">
        <f t="shared" si="72"/>
        <v>2018</v>
      </c>
      <c r="V51" s="38">
        <f t="shared" si="72"/>
        <v>2019</v>
      </c>
      <c r="W51" s="38">
        <f t="shared" si="72"/>
        <v>2020</v>
      </c>
      <c r="X51" s="38">
        <f t="shared" si="72"/>
        <v>2021</v>
      </c>
      <c r="Y51" s="38">
        <f t="shared" si="72"/>
        <v>2022</v>
      </c>
      <c r="Z51" s="38">
        <f t="shared" si="72"/>
        <v>2023</v>
      </c>
      <c r="AA51" s="38">
        <f t="shared" si="72"/>
        <v>2024</v>
      </c>
      <c r="AB51" s="38">
        <f t="shared" si="72"/>
        <v>2025</v>
      </c>
      <c r="AC51" s="38">
        <f t="shared" si="72"/>
        <v>2026</v>
      </c>
      <c r="AD51" s="38">
        <f t="shared" si="72"/>
        <v>2027</v>
      </c>
      <c r="AE51" s="38">
        <f t="shared" si="72"/>
        <v>2028</v>
      </c>
      <c r="AF51" s="38">
        <f t="shared" si="72"/>
        <v>2029</v>
      </c>
      <c r="AG51" s="38">
        <f t="shared" si="72"/>
        <v>2030</v>
      </c>
      <c r="AH51" s="38">
        <f t="shared" si="72"/>
        <v>2031</v>
      </c>
      <c r="AI51" s="38">
        <f t="shared" si="72"/>
        <v>2032</v>
      </c>
      <c r="AJ51" s="38">
        <f t="shared" si="72"/>
        <v>2033</v>
      </c>
      <c r="AK51" s="38">
        <f t="shared" si="72"/>
        <v>2034</v>
      </c>
      <c r="AL51" s="3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>
      <c r="L52" s="17" t="str">
        <f>'Occ T3'!A7</f>
        <v>Managers, directors and senior officials</v>
      </c>
      <c r="M52" s="308">
        <f t="shared" ref="M52:AD52" si="73">M5/M$49</f>
        <v>7.3771673209990563E-2</v>
      </c>
      <c r="N52" s="308">
        <f t="shared" si="73"/>
        <v>8.0216071864206567E-2</v>
      </c>
      <c r="O52" s="308">
        <f t="shared" si="73"/>
        <v>8.1370214874618887E-2</v>
      </c>
      <c r="P52" s="308">
        <f t="shared" si="73"/>
        <v>8.3879295271931456E-2</v>
      </c>
      <c r="Q52" s="308">
        <f t="shared" si="73"/>
        <v>8.2304199660933011E-2</v>
      </c>
      <c r="R52" s="308">
        <f t="shared" si="73"/>
        <v>8.3852664195490006E-2</v>
      </c>
      <c r="S52" s="308">
        <f t="shared" si="73"/>
        <v>8.5298944593424034E-2</v>
      </c>
      <c r="T52" s="308">
        <f t="shared" si="73"/>
        <v>8.7833961991028456E-2</v>
      </c>
      <c r="U52" s="308">
        <f t="shared" si="73"/>
        <v>9.0017645010714881E-2</v>
      </c>
      <c r="V52" s="308">
        <f t="shared" si="73"/>
        <v>9.0885135458674451E-2</v>
      </c>
      <c r="W52" s="308">
        <f t="shared" si="73"/>
        <v>9.6334029618205405E-2</v>
      </c>
      <c r="X52" s="308">
        <f t="shared" si="73"/>
        <v>8.6101268232573136E-2</v>
      </c>
      <c r="Y52" s="308">
        <f t="shared" si="73"/>
        <v>8.6634438932457758E-2</v>
      </c>
      <c r="Z52" s="308">
        <f t="shared" si="73"/>
        <v>8.7160336526297164E-2</v>
      </c>
      <c r="AA52" s="308">
        <f t="shared" si="73"/>
        <v>8.768975325090797E-2</v>
      </c>
      <c r="AB52" s="308">
        <f t="shared" si="73"/>
        <v>8.8239231553748881E-2</v>
      </c>
      <c r="AC52" s="308">
        <f t="shared" si="73"/>
        <v>8.8787984060065203E-2</v>
      </c>
      <c r="AD52" s="308">
        <f t="shared" si="73"/>
        <v>8.9357449442895934E-2</v>
      </c>
      <c r="AE52" s="308">
        <f t="shared" ref="AE52:AL52" si="74">AE5/AE$49</f>
        <v>8.9946866697059424E-2</v>
      </c>
      <c r="AF52" s="308">
        <f t="shared" si="74"/>
        <v>9.0550194015238672E-2</v>
      </c>
      <c r="AG52" s="308">
        <f t="shared" si="74"/>
        <v>9.1174053353493156E-2</v>
      </c>
      <c r="AH52" s="308">
        <f t="shared" si="74"/>
        <v>9.1780473072086963E-2</v>
      </c>
      <c r="AI52" s="308">
        <f t="shared" si="74"/>
        <v>9.2383578070578024E-2</v>
      </c>
      <c r="AJ52" s="308">
        <f t="shared" si="74"/>
        <v>9.3001972766441635E-2</v>
      </c>
      <c r="AK52" s="308">
        <f t="shared" si="74"/>
        <v>9.3648266006737771E-2</v>
      </c>
      <c r="AL52" s="308">
        <f t="shared" si="74"/>
        <v>9.4313143338239827E-2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>
      <c r="L53" s="108" t="str">
        <f>'Occ T3'!A8</f>
        <v>11 Corporate managers and directors</v>
      </c>
      <c r="M53" s="307">
        <f t="shared" ref="M53:AD53" si="75">M6/M$49</f>
        <v>5.2619482351086828E-2</v>
      </c>
      <c r="N53" s="307">
        <f t="shared" si="75"/>
        <v>5.7075807969787881E-2</v>
      </c>
      <c r="O53" s="307">
        <f t="shared" si="75"/>
        <v>5.7818665133343279E-2</v>
      </c>
      <c r="P53" s="307">
        <f t="shared" si="75"/>
        <v>5.971052557130202E-2</v>
      </c>
      <c r="Q53" s="307">
        <f t="shared" si="75"/>
        <v>5.6295706125652614E-2</v>
      </c>
      <c r="R53" s="307">
        <f t="shared" si="75"/>
        <v>5.9104097619839702E-2</v>
      </c>
      <c r="S53" s="307">
        <f t="shared" si="75"/>
        <v>6.2307250106359451E-2</v>
      </c>
      <c r="T53" s="307">
        <f t="shared" si="75"/>
        <v>6.256245022049832E-2</v>
      </c>
      <c r="U53" s="307">
        <f t="shared" si="75"/>
        <v>6.519441304821369E-2</v>
      </c>
      <c r="V53" s="307">
        <f t="shared" si="75"/>
        <v>6.6030072989576666E-2</v>
      </c>
      <c r="W53" s="307">
        <f t="shared" si="75"/>
        <v>6.9644835525859441E-2</v>
      </c>
      <c r="X53" s="307">
        <f t="shared" si="75"/>
        <v>6.0137623726556032E-2</v>
      </c>
      <c r="Y53" s="307">
        <f t="shared" si="75"/>
        <v>6.0392146433428225E-2</v>
      </c>
      <c r="Z53" s="307">
        <f t="shared" si="75"/>
        <v>6.0695508363151067E-2</v>
      </c>
      <c r="AA53" s="307">
        <f t="shared" si="75"/>
        <v>6.1030177300315215E-2</v>
      </c>
      <c r="AB53" s="307">
        <f t="shared" si="75"/>
        <v>6.134720143606829E-2</v>
      </c>
      <c r="AC53" s="307">
        <f t="shared" si="75"/>
        <v>6.1678330054486738E-2</v>
      </c>
      <c r="AD53" s="307">
        <f t="shared" si="75"/>
        <v>6.203348386257089E-2</v>
      </c>
      <c r="AE53" s="307">
        <f t="shared" ref="AE53:AL53" si="76">AE6/AE$49</f>
        <v>6.2402710479241043E-2</v>
      </c>
      <c r="AF53" s="307">
        <f t="shared" si="76"/>
        <v>6.2763172749613516E-2</v>
      </c>
      <c r="AG53" s="307">
        <f t="shared" si="76"/>
        <v>6.3140296222079187E-2</v>
      </c>
      <c r="AH53" s="307">
        <f t="shared" si="76"/>
        <v>6.3501977786825065E-2</v>
      </c>
      <c r="AI53" s="307">
        <f t="shared" si="76"/>
        <v>6.3867155489175348E-2</v>
      </c>
      <c r="AJ53" s="307">
        <f t="shared" si="76"/>
        <v>6.4237505863851976E-2</v>
      </c>
      <c r="AK53" s="307">
        <f t="shared" si="76"/>
        <v>6.4612546262681744E-2</v>
      </c>
      <c r="AL53" s="307">
        <f t="shared" si="76"/>
        <v>6.4997342006689954E-2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>
      <c r="L54" s="108" t="str">
        <f>'Occ T3'!A9</f>
        <v>12 Other managers and proprietors</v>
      </c>
      <c r="M54" s="307">
        <f t="shared" ref="M54:AD54" si="77">M7/M$49</f>
        <v>2.1152190858903738E-2</v>
      </c>
      <c r="N54" s="307">
        <f t="shared" si="77"/>
        <v>2.314026389441869E-2</v>
      </c>
      <c r="O54" s="307">
        <f t="shared" si="77"/>
        <v>2.3551549741275615E-2</v>
      </c>
      <c r="P54" s="307">
        <f t="shared" si="77"/>
        <v>2.4168769700629422E-2</v>
      </c>
      <c r="Q54" s="307">
        <f t="shared" si="77"/>
        <v>2.6008493535280397E-2</v>
      </c>
      <c r="R54" s="307">
        <f t="shared" si="77"/>
        <v>2.4748566575650322E-2</v>
      </c>
      <c r="S54" s="307">
        <f t="shared" si="77"/>
        <v>2.299169448706458E-2</v>
      </c>
      <c r="T54" s="307">
        <f t="shared" si="77"/>
        <v>2.5271511770530126E-2</v>
      </c>
      <c r="U54" s="307">
        <f t="shared" si="77"/>
        <v>2.4823231962501181E-2</v>
      </c>
      <c r="V54" s="307">
        <f t="shared" si="77"/>
        <v>2.4855062469097775E-2</v>
      </c>
      <c r="W54" s="307">
        <f t="shared" si="77"/>
        <v>2.6689194092345964E-2</v>
      </c>
      <c r="X54" s="307">
        <f t="shared" si="77"/>
        <v>2.5963644506017101E-2</v>
      </c>
      <c r="Y54" s="307">
        <f t="shared" si="77"/>
        <v>2.6242292499029533E-2</v>
      </c>
      <c r="Z54" s="307">
        <f t="shared" si="77"/>
        <v>2.64648281631461E-2</v>
      </c>
      <c r="AA54" s="307">
        <f t="shared" si="77"/>
        <v>2.6659575950592745E-2</v>
      </c>
      <c r="AB54" s="307">
        <f t="shared" si="77"/>
        <v>2.6892030117680592E-2</v>
      </c>
      <c r="AC54" s="307">
        <f t="shared" si="77"/>
        <v>2.7109654005578476E-2</v>
      </c>
      <c r="AD54" s="307">
        <f t="shared" si="77"/>
        <v>2.732396558032503E-2</v>
      </c>
      <c r="AE54" s="307">
        <f t="shared" ref="AE54:AL54" si="78">AE7/AE$49</f>
        <v>2.7544156217818385E-2</v>
      </c>
      <c r="AF54" s="307">
        <f t="shared" si="78"/>
        <v>2.7787021265625163E-2</v>
      </c>
      <c r="AG54" s="307">
        <f t="shared" si="78"/>
        <v>2.8033757131413969E-2</v>
      </c>
      <c r="AH54" s="307">
        <f t="shared" si="78"/>
        <v>2.8278495285261905E-2</v>
      </c>
      <c r="AI54" s="307">
        <f t="shared" si="78"/>
        <v>2.8516422581402676E-2</v>
      </c>
      <c r="AJ54" s="307">
        <f t="shared" si="78"/>
        <v>2.8764466902589662E-2</v>
      </c>
      <c r="AK54" s="307">
        <f t="shared" si="78"/>
        <v>2.903571974405603E-2</v>
      </c>
      <c r="AL54" s="307">
        <f t="shared" si="78"/>
        <v>2.9315801331549877E-2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>
      <c r="L55" s="108"/>
      <c r="M55" s="307"/>
      <c r="N55" s="307"/>
      <c r="O55" s="307"/>
      <c r="P55" s="307"/>
      <c r="Q55" s="307"/>
      <c r="R55" s="307"/>
      <c r="S55" s="307"/>
      <c r="T55" s="307"/>
      <c r="U55" s="307"/>
      <c r="V55" s="307"/>
      <c r="W55" s="307"/>
      <c r="X55" s="307"/>
      <c r="Y55" s="307"/>
      <c r="Z55" s="307"/>
      <c r="AA55" s="307"/>
      <c r="AB55" s="307"/>
      <c r="AC55" s="307"/>
      <c r="AD55" s="307"/>
      <c r="AE55" s="307"/>
      <c r="AF55" s="307"/>
      <c r="AG55" s="307"/>
      <c r="AH55" s="307"/>
      <c r="AI55" s="307"/>
      <c r="AJ55" s="307"/>
      <c r="AK55" s="307"/>
      <c r="AL55" s="307"/>
    </row>
    <row r="56" spans="1:50">
      <c r="L56" s="17" t="str">
        <f>'Occ T3'!A11</f>
        <v>Professional occupations</v>
      </c>
      <c r="M56" s="308">
        <f t="shared" ref="M56:AD56" si="79">M9/M$49</f>
        <v>0.17733504505610823</v>
      </c>
      <c r="N56" s="308">
        <f t="shared" si="79"/>
        <v>0.17857231109633342</v>
      </c>
      <c r="O56" s="308">
        <f t="shared" si="79"/>
        <v>0.17359177156139335</v>
      </c>
      <c r="P56" s="308">
        <f t="shared" si="79"/>
        <v>0.17959331108201743</v>
      </c>
      <c r="Q56" s="308">
        <f t="shared" si="79"/>
        <v>0.17826621447653995</v>
      </c>
      <c r="R56" s="308">
        <f t="shared" si="79"/>
        <v>0.1734978254788935</v>
      </c>
      <c r="S56" s="308">
        <f t="shared" si="79"/>
        <v>0.18432206873456233</v>
      </c>
      <c r="T56" s="308">
        <f t="shared" si="79"/>
        <v>0.18244312772670512</v>
      </c>
      <c r="U56" s="308">
        <f t="shared" si="79"/>
        <v>0.18811246879284013</v>
      </c>
      <c r="V56" s="308">
        <f t="shared" si="79"/>
        <v>0.19426192278862214</v>
      </c>
      <c r="W56" s="308">
        <f t="shared" si="79"/>
        <v>0.20867610902124678</v>
      </c>
      <c r="X56" s="308">
        <f t="shared" si="79"/>
        <v>0.20994204838127725</v>
      </c>
      <c r="Y56" s="308">
        <f t="shared" si="79"/>
        <v>0.21133990151471255</v>
      </c>
      <c r="Z56" s="308">
        <f t="shared" si="79"/>
        <v>0.21302660386662531</v>
      </c>
      <c r="AA56" s="308">
        <f t="shared" si="79"/>
        <v>0.21474690981953798</v>
      </c>
      <c r="AB56" s="308">
        <f t="shared" si="79"/>
        <v>0.21640686609265414</v>
      </c>
      <c r="AC56" s="308">
        <f t="shared" si="79"/>
        <v>0.21812419514319528</v>
      </c>
      <c r="AD56" s="308">
        <f t="shared" si="79"/>
        <v>0.21988330895544275</v>
      </c>
      <c r="AE56" s="308">
        <f t="shared" ref="AE56:AL56" si="80">AE9/AE$49</f>
        <v>0.22155534909470509</v>
      </c>
      <c r="AF56" s="308">
        <f t="shared" si="80"/>
        <v>0.22324314935374148</v>
      </c>
      <c r="AG56" s="308">
        <f t="shared" si="80"/>
        <v>0.22495408849782703</v>
      </c>
      <c r="AH56" s="308">
        <f t="shared" si="80"/>
        <v>0.22667749502002654</v>
      </c>
      <c r="AI56" s="308">
        <f t="shared" si="80"/>
        <v>0.22834265061157771</v>
      </c>
      <c r="AJ56" s="308">
        <f t="shared" si="80"/>
        <v>0.23000810327489102</v>
      </c>
      <c r="AK56" s="308">
        <f t="shared" si="80"/>
        <v>0.23167253951153233</v>
      </c>
      <c r="AL56" s="308">
        <f t="shared" si="80"/>
        <v>0.23324191388070512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>
      <c r="L57" s="108" t="str">
        <f>'Occ T3'!A12</f>
        <v>21 Science, research, engineering and technology professionals</v>
      </c>
      <c r="M57" s="307">
        <f t="shared" ref="M57:AD57" si="81">M10/M$49</f>
        <v>4.6033135363492135E-2</v>
      </c>
      <c r="N57" s="307">
        <f t="shared" si="81"/>
        <v>4.4049637752430412E-2</v>
      </c>
      <c r="O57" s="307">
        <f t="shared" si="81"/>
        <v>4.387068650394621E-2</v>
      </c>
      <c r="P57" s="307">
        <f t="shared" si="81"/>
        <v>4.4501421555296558E-2</v>
      </c>
      <c r="Q57" s="307">
        <f t="shared" si="81"/>
        <v>4.5590805429641418E-2</v>
      </c>
      <c r="R57" s="307">
        <f t="shared" si="81"/>
        <v>4.6863821477954447E-2</v>
      </c>
      <c r="S57" s="307">
        <f t="shared" si="81"/>
        <v>4.7802755777102843E-2</v>
      </c>
      <c r="T57" s="307">
        <f t="shared" si="81"/>
        <v>4.5246248728972024E-2</v>
      </c>
      <c r="U57" s="307">
        <f t="shared" si="81"/>
        <v>4.9707720033595484E-2</v>
      </c>
      <c r="V57" s="307">
        <f t="shared" si="81"/>
        <v>5.005077641721873E-2</v>
      </c>
      <c r="W57" s="307">
        <f t="shared" si="81"/>
        <v>5.3757506619860153E-2</v>
      </c>
      <c r="X57" s="307">
        <f t="shared" si="81"/>
        <v>6.1154957209953204E-2</v>
      </c>
      <c r="Y57" s="307">
        <f t="shared" si="81"/>
        <v>6.1706826993068488E-2</v>
      </c>
      <c r="Z57" s="307">
        <f t="shared" si="81"/>
        <v>6.2337844404374829E-2</v>
      </c>
      <c r="AA57" s="307">
        <f t="shared" si="81"/>
        <v>6.299311840950042E-2</v>
      </c>
      <c r="AB57" s="307">
        <f t="shared" si="81"/>
        <v>6.3628362571229016E-2</v>
      </c>
      <c r="AC57" s="307">
        <f t="shared" si="81"/>
        <v>6.424856828563158E-2</v>
      </c>
      <c r="AD57" s="307">
        <f t="shared" si="81"/>
        <v>6.4862196023709476E-2</v>
      </c>
      <c r="AE57" s="307">
        <f t="shared" ref="AE57:AL57" si="82">AE10/AE$49</f>
        <v>6.5460634318397229E-2</v>
      </c>
      <c r="AF57" s="307">
        <f t="shared" si="82"/>
        <v>6.6060182938047204E-2</v>
      </c>
      <c r="AG57" s="307">
        <f t="shared" si="82"/>
        <v>6.6697071839187633E-2</v>
      </c>
      <c r="AH57" s="307">
        <f t="shared" si="82"/>
        <v>6.7326382851049929E-2</v>
      </c>
      <c r="AI57" s="307">
        <f t="shared" si="82"/>
        <v>6.7961021485420867E-2</v>
      </c>
      <c r="AJ57" s="307">
        <f t="shared" si="82"/>
        <v>6.858166157193149E-2</v>
      </c>
      <c r="AK57" s="307">
        <f t="shared" si="82"/>
        <v>6.9224454825132786E-2</v>
      </c>
      <c r="AL57" s="307">
        <f t="shared" si="82"/>
        <v>6.9854520577399506E-2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>
      <c r="A58" s="62" t="str">
        <f>CONCATENATE("Occupation Figure 2.1  Employment by Occupation (% shares), ",$M$2,"-",$O$2,", ",Info!B5)</f>
        <v>Occupation Figure 2.1  Employment by Occupation (% shares), 2010-2035, Black Country</v>
      </c>
      <c r="L58" s="108" t="str">
        <f>'Occ T3'!A13</f>
        <v>22 Health professionals</v>
      </c>
      <c r="M58" s="307">
        <f t="shared" ref="M58:AD58" si="83">M11/M$49</f>
        <v>4.1533221016481353E-2</v>
      </c>
      <c r="N58" s="307">
        <f t="shared" si="83"/>
        <v>4.5202833836587235E-2</v>
      </c>
      <c r="O58" s="307">
        <f t="shared" si="83"/>
        <v>4.6192179746626344E-2</v>
      </c>
      <c r="P58" s="307">
        <f t="shared" si="83"/>
        <v>4.7591123789299604E-2</v>
      </c>
      <c r="Q58" s="307">
        <f t="shared" si="83"/>
        <v>4.7184697352926665E-2</v>
      </c>
      <c r="R58" s="307">
        <f t="shared" si="83"/>
        <v>4.2872628690234241E-2</v>
      </c>
      <c r="S58" s="307">
        <f t="shared" si="83"/>
        <v>4.8848174092002733E-2</v>
      </c>
      <c r="T58" s="307">
        <f t="shared" si="83"/>
        <v>5.1241010576334033E-2</v>
      </c>
      <c r="U58" s="307">
        <f t="shared" si="83"/>
        <v>4.9828372762099865E-2</v>
      </c>
      <c r="V58" s="307">
        <f t="shared" si="83"/>
        <v>5.3567644766047716E-2</v>
      </c>
      <c r="W58" s="307">
        <f t="shared" si="83"/>
        <v>5.4183048960920112E-2</v>
      </c>
      <c r="X58" s="307">
        <f t="shared" si="83"/>
        <v>5.0958174693698038E-2</v>
      </c>
      <c r="Y58" s="307">
        <f t="shared" si="83"/>
        <v>5.1291373416671199E-2</v>
      </c>
      <c r="Z58" s="307">
        <f t="shared" si="83"/>
        <v>5.1622889925127549E-2</v>
      </c>
      <c r="AA58" s="307">
        <f t="shared" si="83"/>
        <v>5.1946826449355533E-2</v>
      </c>
      <c r="AB58" s="307">
        <f t="shared" si="83"/>
        <v>5.2239070503207315E-2</v>
      </c>
      <c r="AC58" s="307">
        <f t="shared" si="83"/>
        <v>5.2539268586798415E-2</v>
      </c>
      <c r="AD58" s="307">
        <f t="shared" si="83"/>
        <v>5.2838329486226923E-2</v>
      </c>
      <c r="AE58" s="307">
        <f t="shared" ref="AE58:AL58" si="84">AE11/AE$49</f>
        <v>5.3054007020198135E-2</v>
      </c>
      <c r="AF58" s="307">
        <f t="shared" si="84"/>
        <v>5.3330664599775819E-2</v>
      </c>
      <c r="AG58" s="307">
        <f t="shared" si="84"/>
        <v>5.3577384708837238E-2</v>
      </c>
      <c r="AH58" s="307">
        <f t="shared" si="84"/>
        <v>5.3831413856875295E-2</v>
      </c>
      <c r="AI58" s="307">
        <f t="shared" si="84"/>
        <v>5.4076805175351017E-2</v>
      </c>
      <c r="AJ58" s="307">
        <f t="shared" si="84"/>
        <v>5.4323277618141493E-2</v>
      </c>
      <c r="AK58" s="307">
        <f t="shared" si="84"/>
        <v>5.4558570280532952E-2</v>
      </c>
      <c r="AL58" s="307">
        <f t="shared" si="84"/>
        <v>5.475610997331859E-2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>
      <c r="L59" s="108" t="str">
        <f>'Occ T3'!A14</f>
        <v>23 Teaching and other educational professionals</v>
      </c>
      <c r="M59" s="307">
        <f t="shared" ref="M59:AD59" si="85">M12/M$49</f>
        <v>4.2081607111324901E-2</v>
      </c>
      <c r="N59" s="307">
        <f t="shared" si="85"/>
        <v>4.3857385117406965E-2</v>
      </c>
      <c r="O59" s="307">
        <f t="shared" si="85"/>
        <v>4.0434389797190884E-2</v>
      </c>
      <c r="P59" s="307">
        <f t="shared" si="85"/>
        <v>4.0990154994114111E-2</v>
      </c>
      <c r="Q59" s="307">
        <f t="shared" si="85"/>
        <v>3.970093787275656E-2</v>
      </c>
      <c r="R59" s="307">
        <f t="shared" si="85"/>
        <v>3.8650798053792075E-2</v>
      </c>
      <c r="S59" s="307">
        <f t="shared" si="85"/>
        <v>4.0282700717865279E-2</v>
      </c>
      <c r="T59" s="307">
        <f t="shared" si="85"/>
        <v>3.8776748873664627E-2</v>
      </c>
      <c r="U59" s="307">
        <f t="shared" si="85"/>
        <v>3.8289003861248221E-2</v>
      </c>
      <c r="V59" s="307">
        <f t="shared" si="85"/>
        <v>4.0722368036382468E-2</v>
      </c>
      <c r="W59" s="307">
        <f t="shared" si="85"/>
        <v>4.4391141052710477E-2</v>
      </c>
      <c r="X59" s="307">
        <f t="shared" si="85"/>
        <v>4.2076226724048447E-2</v>
      </c>
      <c r="Y59" s="307">
        <f t="shared" si="85"/>
        <v>4.2300019667797804E-2</v>
      </c>
      <c r="Z59" s="307">
        <f t="shared" si="85"/>
        <v>4.2621546827828753E-2</v>
      </c>
      <c r="AA59" s="307">
        <f t="shared" si="85"/>
        <v>4.2924110611810326E-2</v>
      </c>
      <c r="AB59" s="307">
        <f t="shared" si="85"/>
        <v>4.3236532169485635E-2</v>
      </c>
      <c r="AC59" s="307">
        <f t="shared" si="85"/>
        <v>4.3588273680079496E-2</v>
      </c>
      <c r="AD59" s="307">
        <f t="shared" si="85"/>
        <v>4.3958548519875032E-2</v>
      </c>
      <c r="AE59" s="307">
        <f t="shared" ref="AE59:AL59" si="86">AE12/AE$49</f>
        <v>4.430567220968866E-2</v>
      </c>
      <c r="AF59" s="307">
        <f t="shared" si="86"/>
        <v>4.461601080218007E-2</v>
      </c>
      <c r="AG59" s="307">
        <f t="shared" si="86"/>
        <v>4.4923664340800078E-2</v>
      </c>
      <c r="AH59" s="307">
        <f t="shared" si="86"/>
        <v>4.5249822922009166E-2</v>
      </c>
      <c r="AI59" s="307">
        <f t="shared" si="86"/>
        <v>4.5520211848998668E-2</v>
      </c>
      <c r="AJ59" s="307">
        <f t="shared" si="86"/>
        <v>4.5793194142968362E-2</v>
      </c>
      <c r="AK59" s="307">
        <f t="shared" si="86"/>
        <v>4.6058785479020946E-2</v>
      </c>
      <c r="AL59" s="307">
        <f t="shared" si="86"/>
        <v>4.6298752909662594E-2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>
      <c r="L60" s="108" t="str">
        <f>'Occ T3'!A15</f>
        <v>24 Business, media and public service professionals</v>
      </c>
      <c r="M60" s="307">
        <f t="shared" ref="M60:AD60" si="87">M13/M$49</f>
        <v>4.7687081564809844E-2</v>
      </c>
      <c r="N60" s="307">
        <f t="shared" si="87"/>
        <v>4.5462454389908827E-2</v>
      </c>
      <c r="O60" s="307">
        <f t="shared" si="87"/>
        <v>4.3094515513629902E-2</v>
      </c>
      <c r="P60" s="307">
        <f t="shared" si="87"/>
        <v>4.6510610743307146E-2</v>
      </c>
      <c r="Q60" s="307">
        <f t="shared" si="87"/>
        <v>4.578977382121531E-2</v>
      </c>
      <c r="R60" s="307">
        <f t="shared" si="87"/>
        <v>4.5110577256912775E-2</v>
      </c>
      <c r="S60" s="307">
        <f t="shared" si="87"/>
        <v>4.7388438147591437E-2</v>
      </c>
      <c r="T60" s="307">
        <f t="shared" si="87"/>
        <v>4.717911954773444E-2</v>
      </c>
      <c r="U60" s="307">
        <f t="shared" si="87"/>
        <v>5.0287372135896569E-2</v>
      </c>
      <c r="V60" s="307">
        <f t="shared" si="87"/>
        <v>4.9921133568973243E-2</v>
      </c>
      <c r="W60" s="307">
        <f t="shared" si="87"/>
        <v>5.6344412387756039E-2</v>
      </c>
      <c r="X60" s="307">
        <f t="shared" si="87"/>
        <v>5.575268975357759E-2</v>
      </c>
      <c r="Y60" s="307">
        <f t="shared" si="87"/>
        <v>5.6041681437175049E-2</v>
      </c>
      <c r="Z60" s="307">
        <f t="shared" si="87"/>
        <v>5.6444322709294163E-2</v>
      </c>
      <c r="AA60" s="307">
        <f t="shared" si="87"/>
        <v>5.6882854348871713E-2</v>
      </c>
      <c r="AB60" s="307">
        <f t="shared" si="87"/>
        <v>5.7302900848732165E-2</v>
      </c>
      <c r="AC60" s="307">
        <f t="shared" si="87"/>
        <v>5.7748084590685762E-2</v>
      </c>
      <c r="AD60" s="307">
        <f t="shared" si="87"/>
        <v>5.82242349256313E-2</v>
      </c>
      <c r="AE60" s="307">
        <f t="shared" ref="AE60:AL60" si="88">AE13/AE$49</f>
        <v>5.8735035546421094E-2</v>
      </c>
      <c r="AF60" s="307">
        <f t="shared" si="88"/>
        <v>5.9236291013738403E-2</v>
      </c>
      <c r="AG60" s="307">
        <f t="shared" si="88"/>
        <v>5.9755967609002071E-2</v>
      </c>
      <c r="AH60" s="307">
        <f t="shared" si="88"/>
        <v>6.026987539009214E-2</v>
      </c>
      <c r="AI60" s="307">
        <f t="shared" si="88"/>
        <v>6.0784612101807176E-2</v>
      </c>
      <c r="AJ60" s="307">
        <f t="shared" si="88"/>
        <v>6.130996994184968E-2</v>
      </c>
      <c r="AK60" s="307">
        <f t="shared" si="88"/>
        <v>6.1830728926845657E-2</v>
      </c>
      <c r="AL60" s="307">
        <f t="shared" si="88"/>
        <v>6.2332530420324404E-2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>
      <c r="L61" s="108"/>
      <c r="M61" s="307"/>
      <c r="N61" s="307"/>
      <c r="O61" s="307"/>
      <c r="P61" s="307"/>
      <c r="Q61" s="307"/>
      <c r="R61" s="307"/>
      <c r="S61" s="307"/>
      <c r="T61" s="307"/>
      <c r="U61" s="307"/>
      <c r="V61" s="307"/>
      <c r="W61" s="307"/>
      <c r="X61" s="307"/>
      <c r="Y61" s="307"/>
      <c r="Z61" s="307"/>
      <c r="AA61" s="307"/>
      <c r="AB61" s="307"/>
      <c r="AC61" s="307"/>
      <c r="AD61" s="307"/>
      <c r="AE61" s="307"/>
      <c r="AF61" s="307"/>
      <c r="AG61" s="307"/>
      <c r="AH61" s="307"/>
      <c r="AI61" s="307"/>
      <c r="AJ61" s="307"/>
      <c r="AK61" s="307"/>
      <c r="AL61" s="307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>
      <c r="L62" s="17" t="str">
        <f>'Occ T3'!A17</f>
        <v>Associate professional occupations</v>
      </c>
      <c r="M62" s="308">
        <f t="shared" ref="M62:AD62" si="89">M15/M$49</f>
        <v>0.10979305713519295</v>
      </c>
      <c r="N62" s="308">
        <f t="shared" si="89"/>
        <v>0.11057378303983095</v>
      </c>
      <c r="O62" s="308">
        <f t="shared" si="89"/>
        <v>0.11190337377530099</v>
      </c>
      <c r="P62" s="308">
        <f t="shared" si="89"/>
        <v>0.11238214119397776</v>
      </c>
      <c r="Q62" s="308">
        <f t="shared" si="89"/>
        <v>0.11201847914772294</v>
      </c>
      <c r="R62" s="308">
        <f t="shared" si="89"/>
        <v>0.11101978662129754</v>
      </c>
      <c r="S62" s="308">
        <f t="shared" si="89"/>
        <v>0.11296978494346736</v>
      </c>
      <c r="T62" s="308">
        <f t="shared" si="89"/>
        <v>0.11548500372295867</v>
      </c>
      <c r="U62" s="308">
        <f t="shared" si="89"/>
        <v>0.11499801597263927</v>
      </c>
      <c r="V62" s="308">
        <f t="shared" si="89"/>
        <v>0.11514573938806162</v>
      </c>
      <c r="W62" s="308">
        <f t="shared" si="89"/>
        <v>0.12256416242568559</v>
      </c>
      <c r="X62" s="308">
        <f t="shared" si="89"/>
        <v>0.12515466559540012</v>
      </c>
      <c r="Y62" s="308">
        <f t="shared" si="89"/>
        <v>0.12568812364164225</v>
      </c>
      <c r="Z62" s="308">
        <f t="shared" si="89"/>
        <v>0.12646841633751699</v>
      </c>
      <c r="AA62" s="308">
        <f t="shared" si="89"/>
        <v>0.12737845046249033</v>
      </c>
      <c r="AB62" s="308">
        <f t="shared" si="89"/>
        <v>0.12823353715513774</v>
      </c>
      <c r="AC62" s="308">
        <f t="shared" si="89"/>
        <v>0.12907582970465833</v>
      </c>
      <c r="AD62" s="308">
        <f t="shared" si="89"/>
        <v>0.12992798159341709</v>
      </c>
      <c r="AE62" s="308">
        <f t="shared" ref="AE62:AL62" si="90">AE15/AE$49</f>
        <v>0.13082151008101209</v>
      </c>
      <c r="AF62" s="308">
        <f t="shared" si="90"/>
        <v>0.13172523372943895</v>
      </c>
      <c r="AG62" s="308">
        <f t="shared" si="90"/>
        <v>0.13260452688490176</v>
      </c>
      <c r="AH62" s="308">
        <f t="shared" si="90"/>
        <v>0.13345558360159143</v>
      </c>
      <c r="AI62" s="308">
        <f t="shared" si="90"/>
        <v>0.1342841345520675</v>
      </c>
      <c r="AJ62" s="308">
        <f t="shared" si="90"/>
        <v>0.13519346737158547</v>
      </c>
      <c r="AK62" s="308">
        <f t="shared" si="90"/>
        <v>0.13609173938519295</v>
      </c>
      <c r="AL62" s="308">
        <f t="shared" si="90"/>
        <v>0.137006929196234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>
      <c r="L63" s="108" t="str">
        <f>'Occ T3'!A18</f>
        <v>31 Science, engineering and technology associate professionals</v>
      </c>
      <c r="M63" s="307">
        <f t="shared" ref="M63:AD63" si="91">M16/M$49</f>
        <v>1.6462132789558419E-2</v>
      </c>
      <c r="N63" s="307">
        <f t="shared" si="91"/>
        <v>1.6438104458576103E-2</v>
      </c>
      <c r="O63" s="307">
        <f t="shared" si="91"/>
        <v>1.6331821918409584E-2</v>
      </c>
      <c r="P63" s="307">
        <f t="shared" si="91"/>
        <v>1.6841996566417113E-2</v>
      </c>
      <c r="Q63" s="307">
        <f t="shared" si="91"/>
        <v>1.5394952811248492E-2</v>
      </c>
      <c r="R63" s="307">
        <f t="shared" si="91"/>
        <v>1.5111170870367089E-2</v>
      </c>
      <c r="S63" s="307">
        <f t="shared" si="91"/>
        <v>1.5342333956906771E-2</v>
      </c>
      <c r="T63" s="307">
        <f t="shared" si="91"/>
        <v>1.6486051655875494E-2</v>
      </c>
      <c r="U63" s="307">
        <f t="shared" si="91"/>
        <v>1.6875505028866145E-2</v>
      </c>
      <c r="V63" s="307">
        <f t="shared" si="91"/>
        <v>1.5841001516090518E-2</v>
      </c>
      <c r="W63" s="307">
        <f t="shared" si="91"/>
        <v>1.7557448829615237E-2</v>
      </c>
      <c r="X63" s="307">
        <f t="shared" si="91"/>
        <v>1.5627370118745983E-2</v>
      </c>
      <c r="Y63" s="307">
        <f t="shared" si="91"/>
        <v>1.5654365805855521E-2</v>
      </c>
      <c r="Z63" s="307">
        <f t="shared" si="91"/>
        <v>1.5691299448246324E-2</v>
      </c>
      <c r="AA63" s="307">
        <f t="shared" si="91"/>
        <v>1.5736663713373709E-2</v>
      </c>
      <c r="AB63" s="307">
        <f t="shared" si="91"/>
        <v>1.5772828263645351E-2</v>
      </c>
      <c r="AC63" s="307">
        <f t="shared" si="91"/>
        <v>1.5815297801481887E-2</v>
      </c>
      <c r="AD63" s="307">
        <f t="shared" si="91"/>
        <v>1.5855464759900559E-2</v>
      </c>
      <c r="AE63" s="307">
        <f t="shared" ref="AE63:AL63" si="92">AE16/AE$49</f>
        <v>1.5898324471049177E-2</v>
      </c>
      <c r="AF63" s="307">
        <f t="shared" si="92"/>
        <v>1.5926052996989851E-2</v>
      </c>
      <c r="AG63" s="307">
        <f t="shared" si="92"/>
        <v>1.5953883628328863E-2</v>
      </c>
      <c r="AH63" s="307">
        <f t="shared" si="92"/>
        <v>1.5992074421060438E-2</v>
      </c>
      <c r="AI63" s="307">
        <f t="shared" si="92"/>
        <v>1.6024990160157241E-2</v>
      </c>
      <c r="AJ63" s="307">
        <f t="shared" si="92"/>
        <v>1.6055956052238803E-2</v>
      </c>
      <c r="AK63" s="307">
        <f t="shared" si="92"/>
        <v>1.610190505356001E-2</v>
      </c>
      <c r="AL63" s="307">
        <f t="shared" si="92"/>
        <v>1.6147931717855855E-2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>
      <c r="L64" s="108" t="str">
        <f>'Occ T3'!A19</f>
        <v>32 Health and social care associate professionals</v>
      </c>
      <c r="M64" s="307">
        <f t="shared" ref="M64:AD64" si="93">M17/M$49</f>
        <v>1.5332297358382872E-2</v>
      </c>
      <c r="N64" s="307">
        <f t="shared" si="93"/>
        <v>2.0080049966238116E-2</v>
      </c>
      <c r="O64" s="307">
        <f t="shared" si="93"/>
        <v>1.9820948802017176E-2</v>
      </c>
      <c r="P64" s="307">
        <f t="shared" si="93"/>
        <v>1.9480587842474376E-2</v>
      </c>
      <c r="Q64" s="307">
        <f t="shared" si="93"/>
        <v>1.9402828539875815E-2</v>
      </c>
      <c r="R64" s="307">
        <f t="shared" si="93"/>
        <v>1.7867026710835933E-2</v>
      </c>
      <c r="S64" s="307">
        <f t="shared" si="93"/>
        <v>1.9977653797648074E-2</v>
      </c>
      <c r="T64" s="307">
        <f t="shared" si="93"/>
        <v>2.0034473258698057E-2</v>
      </c>
      <c r="U64" s="307">
        <f t="shared" si="93"/>
        <v>2.0831831880836871E-2</v>
      </c>
      <c r="V64" s="307">
        <f t="shared" si="93"/>
        <v>2.1486690886469616E-2</v>
      </c>
      <c r="W64" s="307">
        <f t="shared" si="93"/>
        <v>2.2172544822101983E-2</v>
      </c>
      <c r="X64" s="307">
        <f t="shared" si="93"/>
        <v>3.246241363267241E-2</v>
      </c>
      <c r="Y64" s="307">
        <f t="shared" si="93"/>
        <v>3.3058439064152789E-2</v>
      </c>
      <c r="Z64" s="307">
        <f t="shared" si="93"/>
        <v>3.3648329612616441E-2</v>
      </c>
      <c r="AA64" s="307">
        <f t="shared" si="93"/>
        <v>3.4234338839050027E-2</v>
      </c>
      <c r="AB64" s="307">
        <f t="shared" si="93"/>
        <v>3.4794675944149776E-2</v>
      </c>
      <c r="AC64" s="307">
        <f t="shared" si="93"/>
        <v>3.5352977858101362E-2</v>
      </c>
      <c r="AD64" s="307">
        <f t="shared" si="93"/>
        <v>3.5917559001767248E-2</v>
      </c>
      <c r="AE64" s="307">
        <f t="shared" ref="AE64:AL64" si="94">AE17/AE$49</f>
        <v>3.6501271679207574E-2</v>
      </c>
      <c r="AF64" s="307">
        <f t="shared" si="94"/>
        <v>3.7073930129272223E-2</v>
      </c>
      <c r="AG64" s="307">
        <f t="shared" si="94"/>
        <v>3.7629556247852095E-2</v>
      </c>
      <c r="AH64" s="307">
        <f t="shared" si="94"/>
        <v>3.8154262939984425E-2</v>
      </c>
      <c r="AI64" s="307">
        <f t="shared" si="94"/>
        <v>3.8666231384705728E-2</v>
      </c>
      <c r="AJ64" s="307">
        <f t="shared" si="94"/>
        <v>3.9227472735093583E-2</v>
      </c>
      <c r="AK64" s="307">
        <f t="shared" si="94"/>
        <v>3.9788424091511711E-2</v>
      </c>
      <c r="AL64" s="307">
        <f t="shared" si="94"/>
        <v>4.034115072306315E-2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>
      <c r="L65" s="108" t="str">
        <f>'Occ T3'!A20</f>
        <v>33 Protective service occupations</v>
      </c>
      <c r="M65" s="307">
        <f t="shared" ref="M65:AD65" si="95">M18/M$49</f>
        <v>9.0198089736828364E-3</v>
      </c>
      <c r="N65" s="307">
        <f t="shared" si="95"/>
        <v>1.0230370501480637E-2</v>
      </c>
      <c r="O65" s="307">
        <f t="shared" si="95"/>
        <v>1.0648763293475107E-2</v>
      </c>
      <c r="P65" s="307">
        <f t="shared" si="95"/>
        <v>9.3866913593082402E-3</v>
      </c>
      <c r="Q65" s="307">
        <f t="shared" si="95"/>
        <v>9.7243865550217332E-3</v>
      </c>
      <c r="R65" s="307">
        <f t="shared" si="95"/>
        <v>8.7910548936650026E-3</v>
      </c>
      <c r="S65" s="307">
        <f t="shared" si="95"/>
        <v>9.6731081718965575E-3</v>
      </c>
      <c r="T65" s="307">
        <f t="shared" si="95"/>
        <v>9.130491879653509E-3</v>
      </c>
      <c r="U65" s="307">
        <f t="shared" si="95"/>
        <v>8.9907793386864322E-3</v>
      </c>
      <c r="V65" s="307">
        <f t="shared" si="95"/>
        <v>8.6815835658454084E-3</v>
      </c>
      <c r="W65" s="307">
        <f t="shared" si="95"/>
        <v>9.4465504241042202E-3</v>
      </c>
      <c r="X65" s="307">
        <f t="shared" si="95"/>
        <v>7.7032898608633774E-3</v>
      </c>
      <c r="Y65" s="307">
        <f t="shared" si="95"/>
        <v>7.7651040573377145E-3</v>
      </c>
      <c r="Z65" s="307">
        <f t="shared" si="95"/>
        <v>7.8316832879011984E-3</v>
      </c>
      <c r="AA65" s="307">
        <f t="shared" si="95"/>
        <v>7.9054346719646413E-3</v>
      </c>
      <c r="AB65" s="307">
        <f t="shared" si="95"/>
        <v>7.9864942585635215E-3</v>
      </c>
      <c r="AC65" s="307">
        <f t="shared" si="95"/>
        <v>8.0481890950732504E-3</v>
      </c>
      <c r="AD65" s="307">
        <f t="shared" si="95"/>
        <v>8.1087937970122127E-3</v>
      </c>
      <c r="AE65" s="307">
        <f t="shared" ref="AE65:AL65" si="96">AE18/AE$49</f>
        <v>8.1435164090251158E-3</v>
      </c>
      <c r="AF65" s="307">
        <f t="shared" si="96"/>
        <v>8.2210834557637225E-3</v>
      </c>
      <c r="AG65" s="307">
        <f t="shared" si="96"/>
        <v>8.2689787118287641E-3</v>
      </c>
      <c r="AH65" s="307">
        <f t="shared" si="96"/>
        <v>8.3163940563447912E-3</v>
      </c>
      <c r="AI65" s="307">
        <f t="shared" si="96"/>
        <v>8.3415881138808306E-3</v>
      </c>
      <c r="AJ65" s="307">
        <f t="shared" si="96"/>
        <v>8.4194466872227047E-3</v>
      </c>
      <c r="AK65" s="307">
        <f t="shared" si="96"/>
        <v>8.4479323134393144E-3</v>
      </c>
      <c r="AL65" s="307">
        <f t="shared" si="96"/>
        <v>8.5295076429892491E-3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>
      <c r="L66" s="108" t="str">
        <f>'Occ T3'!A21</f>
        <v>34 Culture, media and sports occupations</v>
      </c>
      <c r="M66" s="307">
        <f t="shared" ref="M66:AD66" si="97">M19/M$49</f>
        <v>1.2621958617381966E-2</v>
      </c>
      <c r="N66" s="307">
        <f t="shared" si="97"/>
        <v>1.1396768624290097E-2</v>
      </c>
      <c r="O66" s="307">
        <f t="shared" si="97"/>
        <v>1.2174752760836072E-2</v>
      </c>
      <c r="P66" s="307">
        <f t="shared" si="97"/>
        <v>1.2894967026715536E-2</v>
      </c>
      <c r="Q66" s="307">
        <f t="shared" si="97"/>
        <v>1.3074931168715723E-2</v>
      </c>
      <c r="R66" s="307">
        <f t="shared" si="97"/>
        <v>1.488837672899883E-2</v>
      </c>
      <c r="S66" s="307">
        <f t="shared" si="97"/>
        <v>1.3695515754401555E-2</v>
      </c>
      <c r="T66" s="307">
        <f t="shared" si="97"/>
        <v>1.4253809686558981E-2</v>
      </c>
      <c r="U66" s="307">
        <f t="shared" si="97"/>
        <v>1.3085963073356958E-2</v>
      </c>
      <c r="V66" s="307">
        <f t="shared" si="97"/>
        <v>1.4650437268087126E-2</v>
      </c>
      <c r="W66" s="307">
        <f t="shared" si="97"/>
        <v>1.5509264204041291E-2</v>
      </c>
      <c r="X66" s="307">
        <f t="shared" si="97"/>
        <v>1.3182324814357398E-2</v>
      </c>
      <c r="Y66" s="307">
        <f t="shared" si="97"/>
        <v>1.2924044825310675E-2</v>
      </c>
      <c r="Z66" s="307">
        <f t="shared" si="97"/>
        <v>1.2879326236805395E-2</v>
      </c>
      <c r="AA66" s="307">
        <f t="shared" si="97"/>
        <v>1.2953814034149552E-2</v>
      </c>
      <c r="AB66" s="307">
        <f t="shared" si="97"/>
        <v>1.3035644153073392E-2</v>
      </c>
      <c r="AC66" s="307">
        <f t="shared" si="97"/>
        <v>1.3112706790730566E-2</v>
      </c>
      <c r="AD66" s="307">
        <f t="shared" si="97"/>
        <v>1.3190380218262507E-2</v>
      </c>
      <c r="AE66" s="307">
        <f t="shared" ref="AE66:AL66" si="98">AE19/AE$49</f>
        <v>1.3268457347532328E-2</v>
      </c>
      <c r="AF66" s="307">
        <f t="shared" si="98"/>
        <v>1.3350290703366467E-2</v>
      </c>
      <c r="AG66" s="307">
        <f t="shared" si="98"/>
        <v>1.3438745738996631E-2</v>
      </c>
      <c r="AH66" s="307">
        <f t="shared" si="98"/>
        <v>1.3515237168366707E-2</v>
      </c>
      <c r="AI66" s="307">
        <f t="shared" si="98"/>
        <v>1.3605364655442596E-2</v>
      </c>
      <c r="AJ66" s="307">
        <f t="shared" si="98"/>
        <v>1.3700546865885076E-2</v>
      </c>
      <c r="AK66" s="307">
        <f t="shared" si="98"/>
        <v>1.3784881091437119E-2</v>
      </c>
      <c r="AL66" s="307">
        <f t="shared" si="98"/>
        <v>1.3874758770500218E-2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>
      <c r="L67" s="108" t="str">
        <f>'Occ T3'!A22</f>
        <v>35 Business and public service associate professionals</v>
      </c>
      <c r="M67" s="307">
        <f t="shared" ref="M67:AD67" si="99">M20/M$49</f>
        <v>5.635685939618687E-2</v>
      </c>
      <c r="N67" s="307">
        <f t="shared" si="99"/>
        <v>5.2428489489246E-2</v>
      </c>
      <c r="O67" s="307">
        <f t="shared" si="99"/>
        <v>5.2927087000563047E-2</v>
      </c>
      <c r="P67" s="307">
        <f t="shared" si="99"/>
        <v>5.3777898399062496E-2</v>
      </c>
      <c r="Q67" s="307">
        <f t="shared" si="99"/>
        <v>5.4421380072861188E-2</v>
      </c>
      <c r="R67" s="307">
        <f t="shared" si="99"/>
        <v>5.4362157417430682E-2</v>
      </c>
      <c r="S67" s="307">
        <f t="shared" si="99"/>
        <v>5.4281173262614404E-2</v>
      </c>
      <c r="T67" s="307">
        <f t="shared" si="99"/>
        <v>5.5580177242172631E-2</v>
      </c>
      <c r="U67" s="307">
        <f t="shared" si="99"/>
        <v>5.5213936650892866E-2</v>
      </c>
      <c r="V67" s="307">
        <f t="shared" si="99"/>
        <v>5.4486026151568959E-2</v>
      </c>
      <c r="W67" s="307">
        <f t="shared" si="99"/>
        <v>5.7878354145822861E-2</v>
      </c>
      <c r="X67" s="307">
        <f t="shared" si="99"/>
        <v>5.6179267168760962E-2</v>
      </c>
      <c r="Y67" s="307">
        <f t="shared" si="99"/>
        <v>5.6286169888985549E-2</v>
      </c>
      <c r="Z67" s="307">
        <f t="shared" si="99"/>
        <v>5.6417777751947645E-2</v>
      </c>
      <c r="AA67" s="307">
        <f t="shared" si="99"/>
        <v>5.6548199203952425E-2</v>
      </c>
      <c r="AB67" s="307">
        <f t="shared" si="99"/>
        <v>5.6643894535705702E-2</v>
      </c>
      <c r="AC67" s="307">
        <f t="shared" si="99"/>
        <v>5.6746658159271282E-2</v>
      </c>
      <c r="AD67" s="307">
        <f t="shared" si="99"/>
        <v>5.6855783816474555E-2</v>
      </c>
      <c r="AE67" s="307">
        <f t="shared" ref="AE67:AL67" si="100">AE20/AE$49</f>
        <v>5.7009940174197894E-2</v>
      </c>
      <c r="AF67" s="307">
        <f t="shared" si="100"/>
        <v>5.7153876444046695E-2</v>
      </c>
      <c r="AG67" s="307">
        <f t="shared" si="100"/>
        <v>5.7313362557895417E-2</v>
      </c>
      <c r="AH67" s="307">
        <f t="shared" si="100"/>
        <v>5.7477615015835065E-2</v>
      </c>
      <c r="AI67" s="307">
        <f t="shared" si="100"/>
        <v>5.7645960237881093E-2</v>
      </c>
      <c r="AJ67" s="307">
        <f t="shared" si="100"/>
        <v>5.7790045031145307E-2</v>
      </c>
      <c r="AK67" s="307">
        <f t="shared" si="100"/>
        <v>5.7968596835244794E-2</v>
      </c>
      <c r="AL67" s="307">
        <f t="shared" si="100"/>
        <v>5.8113580341825524E-2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>
      <c r="L68" s="108"/>
      <c r="M68" s="307"/>
      <c r="N68" s="307"/>
      <c r="O68" s="307"/>
      <c r="P68" s="307"/>
      <c r="Q68" s="307"/>
      <c r="R68" s="307"/>
      <c r="S68" s="307"/>
      <c r="T68" s="307"/>
      <c r="U68" s="307"/>
      <c r="V68" s="307"/>
      <c r="W68" s="307"/>
      <c r="X68" s="307"/>
      <c r="Y68" s="307"/>
      <c r="Z68" s="307"/>
      <c r="AA68" s="307"/>
      <c r="AB68" s="307"/>
      <c r="AC68" s="307"/>
      <c r="AD68" s="307"/>
      <c r="AE68" s="307"/>
      <c r="AF68" s="307"/>
      <c r="AG68" s="307"/>
      <c r="AH68" s="307"/>
      <c r="AI68" s="307"/>
      <c r="AJ68" s="307"/>
      <c r="AK68" s="307"/>
      <c r="AL68" s="307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>
      <c r="L69" s="17" t="str">
        <f>'Occ T3'!A24</f>
        <v>Administrative and secretarial occupations</v>
      </c>
      <c r="M69" s="308">
        <f t="shared" ref="M69:AD69" si="101">M22/M$49</f>
        <v>0.11898002187430967</v>
      </c>
      <c r="N69" s="308">
        <f t="shared" si="101"/>
        <v>0.12061885048602992</v>
      </c>
      <c r="O69" s="308">
        <f t="shared" si="101"/>
        <v>0.12039855583954254</v>
      </c>
      <c r="P69" s="308">
        <f t="shared" si="101"/>
        <v>0.11740518831681562</v>
      </c>
      <c r="Q69" s="308">
        <f t="shared" si="101"/>
        <v>0.11749827425981028</v>
      </c>
      <c r="R69" s="308">
        <f t="shared" si="101"/>
        <v>0.11895267590496078</v>
      </c>
      <c r="S69" s="308">
        <f t="shared" si="101"/>
        <v>0.11432414091406243</v>
      </c>
      <c r="T69" s="308">
        <f t="shared" si="101"/>
        <v>0.11735795438053295</v>
      </c>
      <c r="U69" s="308">
        <f t="shared" si="101"/>
        <v>0.11433611341464038</v>
      </c>
      <c r="V69" s="308">
        <f t="shared" si="101"/>
        <v>0.10719100214587177</v>
      </c>
      <c r="W69" s="308">
        <f t="shared" si="101"/>
        <v>0.1138232229394443</v>
      </c>
      <c r="X69" s="308">
        <f t="shared" si="101"/>
        <v>0.11546148709663885</v>
      </c>
      <c r="Y69" s="308">
        <f t="shared" si="101"/>
        <v>0.11510006263915581</v>
      </c>
      <c r="Z69" s="308">
        <f t="shared" si="101"/>
        <v>0.11454766944875766</v>
      </c>
      <c r="AA69" s="308">
        <f t="shared" si="101"/>
        <v>0.11390153152105079</v>
      </c>
      <c r="AB69" s="308">
        <f t="shared" si="101"/>
        <v>0.11316576715065062</v>
      </c>
      <c r="AC69" s="308">
        <f t="shared" si="101"/>
        <v>0.11226616937198709</v>
      </c>
      <c r="AD69" s="308">
        <f t="shared" si="101"/>
        <v>0.1113402584258943</v>
      </c>
      <c r="AE69" s="308">
        <f t="shared" ref="AE69:AL69" si="102">AE22/AE$49</f>
        <v>0.11031746150009022</v>
      </c>
      <c r="AF69" s="308">
        <f t="shared" si="102"/>
        <v>0.10926841800113507</v>
      </c>
      <c r="AG69" s="308">
        <f t="shared" si="102"/>
        <v>0.1082308396284187</v>
      </c>
      <c r="AH69" s="308">
        <f t="shared" si="102"/>
        <v>0.10714374160418297</v>
      </c>
      <c r="AI69" s="308">
        <f t="shared" si="102"/>
        <v>0.10604674822654428</v>
      </c>
      <c r="AJ69" s="308">
        <f t="shared" si="102"/>
        <v>0.10480758619410727</v>
      </c>
      <c r="AK69" s="308">
        <f t="shared" si="102"/>
        <v>0.10361879576246809</v>
      </c>
      <c r="AL69" s="308">
        <f t="shared" si="102"/>
        <v>0.10255366647766292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>
      <c r="L70" s="108" t="str">
        <f>'Occ T3'!A25</f>
        <v>41 Administrative occupations</v>
      </c>
      <c r="M70" s="307">
        <f t="shared" ref="M70:AD70" si="103">M23/M$49</f>
        <v>9.290188080481683E-2</v>
      </c>
      <c r="N70" s="307">
        <f t="shared" si="103"/>
        <v>9.6054581750300655E-2</v>
      </c>
      <c r="O70" s="307">
        <f t="shared" si="103"/>
        <v>9.7004877597684488E-2</v>
      </c>
      <c r="P70" s="307">
        <f t="shared" si="103"/>
        <v>9.3677190813497013E-2</v>
      </c>
      <c r="Q70" s="307">
        <f t="shared" si="103"/>
        <v>9.4396064481726188E-2</v>
      </c>
      <c r="R70" s="307">
        <f t="shared" si="103"/>
        <v>9.7195595113275995E-2</v>
      </c>
      <c r="S70" s="307">
        <f t="shared" si="103"/>
        <v>9.3676799140379782E-2</v>
      </c>
      <c r="T70" s="307">
        <f t="shared" si="103"/>
        <v>9.5631827584023568E-2</v>
      </c>
      <c r="U70" s="307">
        <f t="shared" si="103"/>
        <v>9.3013570756863354E-2</v>
      </c>
      <c r="V70" s="307">
        <f t="shared" si="103"/>
        <v>8.85711044165709E-2</v>
      </c>
      <c r="W70" s="307">
        <f t="shared" si="103"/>
        <v>9.5120188897385716E-2</v>
      </c>
      <c r="X70" s="307">
        <f t="shared" si="103"/>
        <v>9.7019747437909878E-2</v>
      </c>
      <c r="Y70" s="307">
        <f t="shared" si="103"/>
        <v>9.6947041851070101E-2</v>
      </c>
      <c r="Z70" s="307">
        <f t="shared" si="103"/>
        <v>9.6779189616676461E-2</v>
      </c>
      <c r="AA70" s="307">
        <f t="shared" si="103"/>
        <v>9.6551165687658647E-2</v>
      </c>
      <c r="AB70" s="307">
        <f t="shared" si="103"/>
        <v>9.6303186195559456E-2</v>
      </c>
      <c r="AC70" s="307">
        <f t="shared" si="103"/>
        <v>9.6018868218458994E-2</v>
      </c>
      <c r="AD70" s="307">
        <f t="shared" si="103"/>
        <v>9.5669146786288919E-2</v>
      </c>
      <c r="AE70" s="307">
        <f t="shared" ref="AE70:AL70" si="104">AE23/AE$49</f>
        <v>9.5276399824685956E-2</v>
      </c>
      <c r="AF70" s="307">
        <f t="shared" si="104"/>
        <v>9.4901304701100322E-2</v>
      </c>
      <c r="AG70" s="307">
        <f t="shared" si="104"/>
        <v>9.4548235083857082E-2</v>
      </c>
      <c r="AH70" s="307">
        <f t="shared" si="104"/>
        <v>9.4166014912298715E-2</v>
      </c>
      <c r="AI70" s="307">
        <f t="shared" si="104"/>
        <v>9.3727819947186375E-2</v>
      </c>
      <c r="AJ70" s="307">
        <f t="shared" si="104"/>
        <v>9.3266490656941703E-2</v>
      </c>
      <c r="AK70" s="307">
        <f t="shared" si="104"/>
        <v>9.2753919093219561E-2</v>
      </c>
      <c r="AL70" s="307">
        <f t="shared" si="104"/>
        <v>9.2193428109587541E-2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>
      <c r="L71" s="108" t="str">
        <f>'Occ T3'!A26</f>
        <v>42 Secretarial and related occupations</v>
      </c>
      <c r="M71" s="307">
        <f t="shared" ref="M71:AD71" si="105">M24/M$49</f>
        <v>2.6078141069492841E-2</v>
      </c>
      <c r="N71" s="307">
        <f t="shared" si="105"/>
        <v>2.4564268735729259E-2</v>
      </c>
      <c r="O71" s="307">
        <f t="shared" si="105"/>
        <v>2.3393678241858042E-2</v>
      </c>
      <c r="P71" s="307">
        <f t="shared" si="105"/>
        <v>2.3727997503318613E-2</v>
      </c>
      <c r="Q71" s="307">
        <f t="shared" si="105"/>
        <v>2.3102209778084103E-2</v>
      </c>
      <c r="R71" s="307">
        <f t="shared" si="105"/>
        <v>2.1757080791684796E-2</v>
      </c>
      <c r="S71" s="307">
        <f t="shared" si="105"/>
        <v>2.0647341773682642E-2</v>
      </c>
      <c r="T71" s="307">
        <f t="shared" si="105"/>
        <v>2.1726126796509395E-2</v>
      </c>
      <c r="U71" s="307">
        <f t="shared" si="105"/>
        <v>2.1322542657777038E-2</v>
      </c>
      <c r="V71" s="307">
        <f t="shared" si="105"/>
        <v>1.8619897729300876E-2</v>
      </c>
      <c r="W71" s="307">
        <f t="shared" si="105"/>
        <v>1.8703034042058583E-2</v>
      </c>
      <c r="X71" s="307">
        <f t="shared" si="105"/>
        <v>1.8441739658728976E-2</v>
      </c>
      <c r="Y71" s="307">
        <f t="shared" si="105"/>
        <v>1.8153020788085703E-2</v>
      </c>
      <c r="Z71" s="307">
        <f t="shared" si="105"/>
        <v>1.776847983208121E-2</v>
      </c>
      <c r="AA71" s="307">
        <f t="shared" si="105"/>
        <v>1.7350365833392146E-2</v>
      </c>
      <c r="AB71" s="307">
        <f t="shared" si="105"/>
        <v>1.6862580955091168E-2</v>
      </c>
      <c r="AC71" s="307">
        <f t="shared" si="105"/>
        <v>1.6247301153528099E-2</v>
      </c>
      <c r="AD71" s="307">
        <f t="shared" si="105"/>
        <v>1.5671111639605384E-2</v>
      </c>
      <c r="AE71" s="307">
        <f t="shared" ref="AE71:AL71" si="106">AE24/AE$49</f>
        <v>1.5041061675404263E-2</v>
      </c>
      <c r="AF71" s="307">
        <f t="shared" si="106"/>
        <v>1.4367113300034737E-2</v>
      </c>
      <c r="AG71" s="307">
        <f t="shared" si="106"/>
        <v>1.3682604544561619E-2</v>
      </c>
      <c r="AH71" s="307">
        <f t="shared" si="106"/>
        <v>1.2977726691884255E-2</v>
      </c>
      <c r="AI71" s="307">
        <f t="shared" si="106"/>
        <v>1.2318928279357889E-2</v>
      </c>
      <c r="AJ71" s="307">
        <f t="shared" si="106"/>
        <v>1.1541095537165556E-2</v>
      </c>
      <c r="AK71" s="307">
        <f t="shared" si="106"/>
        <v>1.0864876669248525E-2</v>
      </c>
      <c r="AL71" s="307">
        <f t="shared" si="106"/>
        <v>1.0360238368075392E-2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>
      <c r="L72" s="108"/>
      <c r="M72" s="307"/>
      <c r="N72" s="307"/>
      <c r="O72" s="307"/>
      <c r="P72" s="307"/>
      <c r="Q72" s="307"/>
      <c r="R72" s="307"/>
      <c r="S72" s="307"/>
      <c r="T72" s="307"/>
      <c r="U72" s="307"/>
      <c r="V72" s="307"/>
      <c r="W72" s="307"/>
      <c r="X72" s="307"/>
      <c r="Y72" s="307"/>
      <c r="Z72" s="307"/>
      <c r="AA72" s="307"/>
      <c r="AB72" s="307"/>
      <c r="AC72" s="307"/>
      <c r="AD72" s="307"/>
      <c r="AE72" s="307"/>
      <c r="AF72" s="307"/>
      <c r="AG72" s="307"/>
      <c r="AH72" s="307"/>
      <c r="AI72" s="307"/>
      <c r="AJ72" s="307"/>
      <c r="AK72" s="307"/>
      <c r="AL72" s="307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>
      <c r="L73" s="17" t="str">
        <f>'Occ T3'!A28</f>
        <v>Skilled trades occupations</v>
      </c>
      <c r="M73" s="308">
        <f t="shared" ref="M73:AD73" si="107">M26/M$49</f>
        <v>0.12812216666096624</v>
      </c>
      <c r="N73" s="308">
        <f t="shared" si="107"/>
        <v>0.12429159186670967</v>
      </c>
      <c r="O73" s="308">
        <f t="shared" si="107"/>
        <v>0.12253356561748502</v>
      </c>
      <c r="P73" s="308">
        <f t="shared" si="107"/>
        <v>0.12197150687999557</v>
      </c>
      <c r="Q73" s="308">
        <f t="shared" si="107"/>
        <v>0.11970730451022482</v>
      </c>
      <c r="R73" s="308">
        <f t="shared" si="107"/>
        <v>0.12124868521552321</v>
      </c>
      <c r="S73" s="308">
        <f t="shared" si="107"/>
        <v>0.1099013990657732</v>
      </c>
      <c r="T73" s="308">
        <f t="shared" si="107"/>
        <v>0.11015370811014034</v>
      </c>
      <c r="U73" s="308">
        <f t="shared" si="107"/>
        <v>0.11575542107206192</v>
      </c>
      <c r="V73" s="308">
        <f t="shared" si="107"/>
        <v>0.12145935567296101</v>
      </c>
      <c r="W73" s="308">
        <f t="shared" si="107"/>
        <v>0.10526698649933895</v>
      </c>
      <c r="X73" s="308">
        <f t="shared" si="107"/>
        <v>0.10572544356296672</v>
      </c>
      <c r="Y73" s="308">
        <f t="shared" si="107"/>
        <v>0.10440869977153022</v>
      </c>
      <c r="Z73" s="308">
        <f t="shared" si="107"/>
        <v>0.10294947481960613</v>
      </c>
      <c r="AA73" s="308">
        <f t="shared" si="107"/>
        <v>0.1016285521218066</v>
      </c>
      <c r="AB73" s="308">
        <f t="shared" si="107"/>
        <v>0.10043548042439408</v>
      </c>
      <c r="AC73" s="308">
        <f t="shared" si="107"/>
        <v>9.9268872787470971E-2</v>
      </c>
      <c r="AD73" s="308">
        <f t="shared" si="107"/>
        <v>9.8118032533422758E-2</v>
      </c>
      <c r="AE73" s="308">
        <f t="shared" ref="AE73:AL73" si="108">AE26/AE$49</f>
        <v>9.7013775875358088E-2</v>
      </c>
      <c r="AF73" s="308">
        <f t="shared" si="108"/>
        <v>9.5906192925297132E-2</v>
      </c>
      <c r="AG73" s="308">
        <f t="shared" si="108"/>
        <v>9.4817721437017707E-2</v>
      </c>
      <c r="AH73" s="308">
        <f t="shared" si="108"/>
        <v>9.3739244787828802E-2</v>
      </c>
      <c r="AI73" s="308">
        <f t="shared" si="108"/>
        <v>9.2692769756451299E-2</v>
      </c>
      <c r="AJ73" s="308">
        <f t="shared" si="108"/>
        <v>9.1658338287449501E-2</v>
      </c>
      <c r="AK73" s="308">
        <f t="shared" si="108"/>
        <v>9.0622797227515026E-2</v>
      </c>
      <c r="AL73" s="308">
        <f t="shared" si="108"/>
        <v>8.9593756663078006E-2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>
      <c r="L74" s="108" t="str">
        <f>'Occ T3'!A29</f>
        <v>51 Skilled agricultural and related trades</v>
      </c>
      <c r="M74" s="307">
        <f t="shared" ref="M74:AD74" si="109">M27/M$49</f>
        <v>8.3938165213270077E-3</v>
      </c>
      <c r="N74" s="307">
        <f t="shared" si="109"/>
        <v>7.4786965954387538E-3</v>
      </c>
      <c r="O74" s="307">
        <f t="shared" si="109"/>
        <v>8.9037259023440098E-3</v>
      </c>
      <c r="P74" s="307">
        <f t="shared" si="109"/>
        <v>6.8027157820297569E-3</v>
      </c>
      <c r="Q74" s="307">
        <f t="shared" si="109"/>
        <v>6.7354561104268594E-3</v>
      </c>
      <c r="R74" s="307">
        <f t="shared" si="109"/>
        <v>8.5673288157009676E-3</v>
      </c>
      <c r="S74" s="307">
        <f t="shared" si="109"/>
        <v>7.093353460582757E-3</v>
      </c>
      <c r="T74" s="307">
        <f t="shared" si="109"/>
        <v>6.302746486428183E-3</v>
      </c>
      <c r="U74" s="307">
        <f t="shared" si="109"/>
        <v>7.5508879825432257E-3</v>
      </c>
      <c r="V74" s="307">
        <f t="shared" si="109"/>
        <v>7.4649144217236859E-3</v>
      </c>
      <c r="W74" s="307">
        <f t="shared" si="109"/>
        <v>6.4352754867367879E-3</v>
      </c>
      <c r="X74" s="307">
        <f t="shared" si="109"/>
        <v>5.9986713993245349E-3</v>
      </c>
      <c r="Y74" s="307">
        <f t="shared" si="109"/>
        <v>6.0269580161366023E-3</v>
      </c>
      <c r="Z74" s="307">
        <f t="shared" si="109"/>
        <v>6.1057711816146455E-3</v>
      </c>
      <c r="AA74" s="307">
        <f t="shared" si="109"/>
        <v>6.1907845010400891E-3</v>
      </c>
      <c r="AB74" s="307">
        <f t="shared" si="109"/>
        <v>6.2549796118944361E-3</v>
      </c>
      <c r="AC74" s="307">
        <f t="shared" si="109"/>
        <v>6.3121454971859824E-3</v>
      </c>
      <c r="AD74" s="307">
        <f t="shared" si="109"/>
        <v>6.3708870865594874E-3</v>
      </c>
      <c r="AE74" s="307">
        <f t="shared" ref="AE74:AL74" si="110">AE27/AE$49</f>
        <v>6.4268204241595831E-3</v>
      </c>
      <c r="AF74" s="307">
        <f t="shared" si="110"/>
        <v>6.4797993633115315E-3</v>
      </c>
      <c r="AG74" s="307">
        <f t="shared" si="110"/>
        <v>6.5303927066673942E-3</v>
      </c>
      <c r="AH74" s="307">
        <f t="shared" si="110"/>
        <v>6.5816581803921671E-3</v>
      </c>
      <c r="AI74" s="307">
        <f t="shared" si="110"/>
        <v>6.6303279372218089E-3</v>
      </c>
      <c r="AJ74" s="307">
        <f t="shared" si="110"/>
        <v>6.6793371558415103E-3</v>
      </c>
      <c r="AK74" s="307">
        <f t="shared" si="110"/>
        <v>6.726870911821314E-3</v>
      </c>
      <c r="AL74" s="307">
        <f t="shared" si="110"/>
        <v>6.7727900891033548E-3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>
      <c r="L75" s="108" t="str">
        <f>'Occ T3'!A30</f>
        <v>52 Skilled metal, electrical and electronic trades</v>
      </c>
      <c r="M75" s="307">
        <f t="shared" ref="M75:AD75" si="111">M28/M$49</f>
        <v>5.4844645919880433E-2</v>
      </c>
      <c r="N75" s="307">
        <f t="shared" si="111"/>
        <v>5.7969092117959586E-2</v>
      </c>
      <c r="O75" s="307">
        <f t="shared" si="111"/>
        <v>5.3792716583977107E-2</v>
      </c>
      <c r="P75" s="307">
        <f t="shared" si="111"/>
        <v>5.6096105394221642E-2</v>
      </c>
      <c r="Q75" s="307">
        <f t="shared" si="111"/>
        <v>5.6495527443659155E-2</v>
      </c>
      <c r="R75" s="307">
        <f t="shared" si="111"/>
        <v>5.6615564138363758E-2</v>
      </c>
      <c r="S75" s="307">
        <f t="shared" si="111"/>
        <v>5.1047291159999085E-2</v>
      </c>
      <c r="T75" s="307">
        <f t="shared" si="111"/>
        <v>5.0053816271422247E-2</v>
      </c>
      <c r="U75" s="307">
        <f t="shared" si="111"/>
        <v>5.1963909023875252E-2</v>
      </c>
      <c r="V75" s="307">
        <f t="shared" si="111"/>
        <v>5.5583279280649843E-2</v>
      </c>
      <c r="W75" s="307">
        <f t="shared" si="111"/>
        <v>4.6830123464305672E-2</v>
      </c>
      <c r="X75" s="307">
        <f t="shared" si="111"/>
        <v>4.6665626589069427E-2</v>
      </c>
      <c r="Y75" s="307">
        <f t="shared" si="111"/>
        <v>4.6076611280380361E-2</v>
      </c>
      <c r="Z75" s="307">
        <f t="shared" si="111"/>
        <v>4.5510778767126094E-2</v>
      </c>
      <c r="AA75" s="307">
        <f t="shared" si="111"/>
        <v>4.5003773400129912E-2</v>
      </c>
      <c r="AB75" s="307">
        <f t="shared" si="111"/>
        <v>4.4524112628022389E-2</v>
      </c>
      <c r="AC75" s="307">
        <f t="shared" si="111"/>
        <v>4.404056903806973E-2</v>
      </c>
      <c r="AD75" s="307">
        <f t="shared" si="111"/>
        <v>4.3557410317242286E-2</v>
      </c>
      <c r="AE75" s="307">
        <f t="shared" ref="AE75:AL75" si="112">AE28/AE$49</f>
        <v>4.3063685040307616E-2</v>
      </c>
      <c r="AF75" s="307">
        <f t="shared" si="112"/>
        <v>4.2569780307439492E-2</v>
      </c>
      <c r="AG75" s="307">
        <f t="shared" si="112"/>
        <v>4.2102786240560644E-2</v>
      </c>
      <c r="AH75" s="307">
        <f t="shared" si="112"/>
        <v>4.1651033619864559E-2</v>
      </c>
      <c r="AI75" s="307">
        <f t="shared" si="112"/>
        <v>4.1224984444857553E-2</v>
      </c>
      <c r="AJ75" s="307">
        <f t="shared" si="112"/>
        <v>4.0795285439186181E-2</v>
      </c>
      <c r="AK75" s="307">
        <f t="shared" si="112"/>
        <v>4.0363759712404482E-2</v>
      </c>
      <c r="AL75" s="307">
        <f t="shared" si="112"/>
        <v>3.9929828376659947E-2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>
      <c r="L76" s="108" t="str">
        <f>'Occ T3'!A31</f>
        <v>53 Skilled construction and building trades</v>
      </c>
      <c r="M76" s="307">
        <f t="shared" ref="M76:AD76" si="113">M29/M$49</f>
        <v>4.5132422161552041E-2</v>
      </c>
      <c r="N76" s="307">
        <f t="shared" si="113"/>
        <v>4.0131068439479077E-2</v>
      </c>
      <c r="O76" s="307">
        <f t="shared" si="113"/>
        <v>3.9291693157132046E-2</v>
      </c>
      <c r="P76" s="307">
        <f t="shared" si="113"/>
        <v>3.8976277540141463E-2</v>
      </c>
      <c r="Q76" s="307">
        <f t="shared" si="113"/>
        <v>3.5881157221671581E-2</v>
      </c>
      <c r="R76" s="307">
        <f t="shared" si="113"/>
        <v>3.6940336830815816E-2</v>
      </c>
      <c r="S76" s="307">
        <f t="shared" si="113"/>
        <v>3.3038307162343697E-2</v>
      </c>
      <c r="T76" s="307">
        <f t="shared" si="113"/>
        <v>3.4237747184319794E-2</v>
      </c>
      <c r="U76" s="307">
        <f t="shared" si="113"/>
        <v>3.8970231082942536E-2</v>
      </c>
      <c r="V76" s="307">
        <f t="shared" si="113"/>
        <v>4.1847930323972167E-2</v>
      </c>
      <c r="W76" s="307">
        <f t="shared" si="113"/>
        <v>3.5215003411202317E-2</v>
      </c>
      <c r="X76" s="307">
        <f t="shared" si="113"/>
        <v>3.5595961841159249E-2</v>
      </c>
      <c r="Y76" s="307">
        <f t="shared" si="113"/>
        <v>3.4997222055531782E-2</v>
      </c>
      <c r="Z76" s="307">
        <f t="shared" si="113"/>
        <v>3.428277914809269E-2</v>
      </c>
      <c r="AA76" s="307">
        <f t="shared" si="113"/>
        <v>3.3643679098485806E-2</v>
      </c>
      <c r="AB76" s="307">
        <f t="shared" si="113"/>
        <v>3.3088455102512106E-2</v>
      </c>
      <c r="AC76" s="307">
        <f t="shared" si="113"/>
        <v>3.2518291221572307E-2</v>
      </c>
      <c r="AD76" s="307">
        <f t="shared" si="113"/>
        <v>3.1952844450221334E-2</v>
      </c>
      <c r="AE76" s="307">
        <f t="shared" ref="AE76:AL76" si="114">AE29/AE$49</f>
        <v>3.1427397221886734E-2</v>
      </c>
      <c r="AF76" s="307">
        <f t="shared" si="114"/>
        <v>3.0887177390859812E-2</v>
      </c>
      <c r="AG76" s="307">
        <f t="shared" si="114"/>
        <v>3.0334493284594987E-2</v>
      </c>
      <c r="AH76" s="307">
        <f t="shared" si="114"/>
        <v>2.9776473763765385E-2</v>
      </c>
      <c r="AI76" s="307">
        <f t="shared" si="114"/>
        <v>2.9226307529624494E-2</v>
      </c>
      <c r="AJ76" s="307">
        <f t="shared" si="114"/>
        <v>2.8686049502335467E-2</v>
      </c>
      <c r="AK76" s="307">
        <f t="shared" si="114"/>
        <v>2.8140382615203977E-2</v>
      </c>
      <c r="AL76" s="307">
        <f t="shared" si="114"/>
        <v>2.7592196150446859E-2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>
      <c r="L77" s="108" t="str">
        <f>'Occ T3'!A32</f>
        <v>54 Textiles, printing and other skilled trades</v>
      </c>
      <c r="M77" s="307">
        <f t="shared" ref="M77:AD77" si="115">M30/M$49</f>
        <v>1.9751282058206757E-2</v>
      </c>
      <c r="N77" s="307">
        <f t="shared" si="115"/>
        <v>1.8712734713832242E-2</v>
      </c>
      <c r="O77" s="307">
        <f t="shared" si="115"/>
        <v>2.054542997403187E-2</v>
      </c>
      <c r="P77" s="307">
        <f t="shared" si="115"/>
        <v>2.0096408163602718E-2</v>
      </c>
      <c r="Q77" s="307">
        <f t="shared" si="115"/>
        <v>2.059516373446723E-2</v>
      </c>
      <c r="R77" s="307">
        <f t="shared" si="115"/>
        <v>1.9125455430642653E-2</v>
      </c>
      <c r="S77" s="307">
        <f t="shared" si="115"/>
        <v>1.8722447282847669E-2</v>
      </c>
      <c r="T77" s="307">
        <f t="shared" si="115"/>
        <v>1.955939816797013E-2</v>
      </c>
      <c r="U77" s="307">
        <f t="shared" si="115"/>
        <v>1.7270392982700902E-2</v>
      </c>
      <c r="V77" s="307">
        <f t="shared" si="115"/>
        <v>1.6563231646615328E-2</v>
      </c>
      <c r="W77" s="307">
        <f t="shared" si="115"/>
        <v>1.6786584137094177E-2</v>
      </c>
      <c r="X77" s="307">
        <f t="shared" si="115"/>
        <v>1.7465183733413506E-2</v>
      </c>
      <c r="Y77" s="307">
        <f t="shared" si="115"/>
        <v>1.7307908419481471E-2</v>
      </c>
      <c r="Z77" s="307">
        <f t="shared" si="115"/>
        <v>1.7050145722772695E-2</v>
      </c>
      <c r="AA77" s="307">
        <f t="shared" si="115"/>
        <v>1.679031512215079E-2</v>
      </c>
      <c r="AB77" s="307">
        <f t="shared" si="115"/>
        <v>1.6567933081965157E-2</v>
      </c>
      <c r="AC77" s="307">
        <f t="shared" si="115"/>
        <v>1.6397867030642943E-2</v>
      </c>
      <c r="AD77" s="307">
        <f t="shared" si="115"/>
        <v>1.6236890679399641E-2</v>
      </c>
      <c r="AE77" s="307">
        <f t="shared" ref="AE77:AL77" si="116">AE30/AE$49</f>
        <v>1.6095873189004142E-2</v>
      </c>
      <c r="AF77" s="307">
        <f t="shared" si="116"/>
        <v>1.596943586368629E-2</v>
      </c>
      <c r="AG77" s="307">
        <f t="shared" si="116"/>
        <v>1.5850049205194679E-2</v>
      </c>
      <c r="AH77" s="307">
        <f t="shared" si="116"/>
        <v>1.5730079223806686E-2</v>
      </c>
      <c r="AI77" s="307">
        <f t="shared" si="116"/>
        <v>1.561114984474744E-2</v>
      </c>
      <c r="AJ77" s="307">
        <f t="shared" si="116"/>
        <v>1.5497666190086346E-2</v>
      </c>
      <c r="AK77" s="307">
        <f t="shared" si="116"/>
        <v>1.539178398808526E-2</v>
      </c>
      <c r="AL77" s="307">
        <f t="shared" si="116"/>
        <v>1.5298942046867846E-2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>
      <c r="L78" s="108"/>
      <c r="M78" s="307"/>
      <c r="N78" s="307"/>
      <c r="O78" s="307"/>
      <c r="P78" s="307"/>
      <c r="Q78" s="307"/>
      <c r="R78" s="307"/>
      <c r="S78" s="307"/>
      <c r="T78" s="307"/>
      <c r="U78" s="307"/>
      <c r="V78" s="307"/>
      <c r="W78" s="307"/>
      <c r="X78" s="307"/>
      <c r="Y78" s="307"/>
      <c r="Z78" s="307"/>
      <c r="AA78" s="307"/>
      <c r="AB78" s="307"/>
      <c r="AC78" s="307"/>
      <c r="AD78" s="307"/>
      <c r="AE78" s="307"/>
      <c r="AF78" s="307"/>
      <c r="AG78" s="307"/>
      <c r="AH78" s="307"/>
      <c r="AI78" s="307"/>
      <c r="AJ78" s="307"/>
      <c r="AK78" s="307"/>
      <c r="AL78" s="307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>
      <c r="L79" s="17" t="str">
        <f>'Occ T3'!A34</f>
        <v>Caring, leisure and other service occupations</v>
      </c>
      <c r="M79" s="308">
        <f t="shared" ref="M79:AD79" si="117">M32/M$49</f>
        <v>0.10213351421956417</v>
      </c>
      <c r="N79" s="308">
        <f t="shared" si="117"/>
        <v>0.10109923405336008</v>
      </c>
      <c r="O79" s="308">
        <f t="shared" si="117"/>
        <v>9.9558124443855214E-2</v>
      </c>
      <c r="P79" s="308">
        <f t="shared" si="117"/>
        <v>0.10053178037632904</v>
      </c>
      <c r="Q79" s="308">
        <f t="shared" si="117"/>
        <v>0.10108712601997688</v>
      </c>
      <c r="R79" s="308">
        <f t="shared" si="117"/>
        <v>9.9845701671974027E-2</v>
      </c>
      <c r="S79" s="308">
        <f t="shared" si="117"/>
        <v>0.10698591366145717</v>
      </c>
      <c r="T79" s="308">
        <f t="shared" si="117"/>
        <v>0.10602981277133594</v>
      </c>
      <c r="U79" s="308">
        <f t="shared" si="117"/>
        <v>9.9192130157709751E-2</v>
      </c>
      <c r="V79" s="308">
        <f t="shared" si="117"/>
        <v>0.100911124272574</v>
      </c>
      <c r="W79" s="308">
        <f t="shared" si="117"/>
        <v>9.9432795290016363E-2</v>
      </c>
      <c r="X79" s="308">
        <f t="shared" si="117"/>
        <v>9.7144464525239213E-2</v>
      </c>
      <c r="Y79" s="308">
        <f t="shared" si="117"/>
        <v>9.7599467999404804E-2</v>
      </c>
      <c r="Z79" s="308">
        <f t="shared" si="117"/>
        <v>9.8104014232223952E-2</v>
      </c>
      <c r="AA79" s="308">
        <f t="shared" si="117"/>
        <v>9.8564557492802324E-2</v>
      </c>
      <c r="AB79" s="308">
        <f t="shared" si="117"/>
        <v>9.8985950582185178E-2</v>
      </c>
      <c r="AC79" s="308">
        <f t="shared" si="117"/>
        <v>9.9413042560070969E-2</v>
      </c>
      <c r="AD79" s="308">
        <f t="shared" si="117"/>
        <v>9.9856805434189427E-2</v>
      </c>
      <c r="AE79" s="308">
        <f t="shared" ref="AE79:AL79" si="118">AE32/AE$49</f>
        <v>0.10032626450688624</v>
      </c>
      <c r="AF79" s="308">
        <f t="shared" si="118"/>
        <v>0.10077198096190727</v>
      </c>
      <c r="AG79" s="308">
        <f t="shared" si="118"/>
        <v>0.10116535657928841</v>
      </c>
      <c r="AH79" s="308">
        <f t="shared" si="118"/>
        <v>0.10159202824045485</v>
      </c>
      <c r="AI79" s="308">
        <f t="shared" si="118"/>
        <v>0.10199742094863692</v>
      </c>
      <c r="AJ79" s="308">
        <f t="shared" si="118"/>
        <v>0.10243802935723788</v>
      </c>
      <c r="AK79" s="308">
        <f t="shared" si="118"/>
        <v>0.10288301018829034</v>
      </c>
      <c r="AL79" s="308">
        <f t="shared" si="118"/>
        <v>0.10330551042017369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>
      <c r="L80" s="108" t="str">
        <f>'Occ T3'!A35</f>
        <v>61 Caring personal service occupations</v>
      </c>
      <c r="M80" s="307">
        <f t="shared" ref="M80:AD80" si="119">M33/M$49</f>
        <v>8.2351844371222407E-2</v>
      </c>
      <c r="N80" s="307">
        <f t="shared" si="119"/>
        <v>7.906634950697361E-2</v>
      </c>
      <c r="O80" s="307">
        <f t="shared" si="119"/>
        <v>7.883207828897934E-2</v>
      </c>
      <c r="P80" s="307">
        <f t="shared" si="119"/>
        <v>7.9600288898058341E-2</v>
      </c>
      <c r="Q80" s="307">
        <f t="shared" si="119"/>
        <v>8.0872729013201E-2</v>
      </c>
      <c r="R80" s="307">
        <f t="shared" si="119"/>
        <v>7.6250244918932619E-2</v>
      </c>
      <c r="S80" s="307">
        <f t="shared" si="119"/>
        <v>8.3229359679947795E-2</v>
      </c>
      <c r="T80" s="307">
        <f t="shared" si="119"/>
        <v>8.3072601304059121E-2</v>
      </c>
      <c r="U80" s="307">
        <f t="shared" si="119"/>
        <v>7.8664847178032848E-2</v>
      </c>
      <c r="V80" s="307">
        <f t="shared" si="119"/>
        <v>8.0524363833958029E-2</v>
      </c>
      <c r="W80" s="307">
        <f t="shared" si="119"/>
        <v>8.0027194968238874E-2</v>
      </c>
      <c r="X80" s="307">
        <f t="shared" si="119"/>
        <v>7.9574801757745756E-2</v>
      </c>
      <c r="Y80" s="307">
        <f t="shared" si="119"/>
        <v>8.0092724895669487E-2</v>
      </c>
      <c r="Z80" s="307">
        <f t="shared" si="119"/>
        <v>8.0644453299803368E-2</v>
      </c>
      <c r="AA80" s="307">
        <f t="shared" si="119"/>
        <v>8.1156650988918277E-2</v>
      </c>
      <c r="AB80" s="307">
        <f t="shared" si="119"/>
        <v>8.1623589419664716E-2</v>
      </c>
      <c r="AC80" s="307">
        <f t="shared" si="119"/>
        <v>8.2093425844226103E-2</v>
      </c>
      <c r="AD80" s="307">
        <f t="shared" si="119"/>
        <v>8.2578867604310685E-2</v>
      </c>
      <c r="AE80" s="307">
        <f t="shared" ref="AE80:AL80" si="120">AE33/AE$49</f>
        <v>8.3101077097700982E-2</v>
      </c>
      <c r="AF80" s="307">
        <f t="shared" si="120"/>
        <v>8.3599937724489759E-2</v>
      </c>
      <c r="AG80" s="307">
        <f t="shared" si="120"/>
        <v>8.4051622758450836E-2</v>
      </c>
      <c r="AH80" s="307">
        <f t="shared" si="120"/>
        <v>8.4532924731902492E-2</v>
      </c>
      <c r="AI80" s="307">
        <f t="shared" si="120"/>
        <v>8.4998239108146481E-2</v>
      </c>
      <c r="AJ80" s="307">
        <f t="shared" si="120"/>
        <v>8.5501062299807654E-2</v>
      </c>
      <c r="AK80" s="307">
        <f t="shared" si="120"/>
        <v>8.6000231793535262E-2</v>
      </c>
      <c r="AL80" s="307">
        <f t="shared" si="120"/>
        <v>8.6467963775091083E-2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>
      <c r="L81" s="108" t="str">
        <f>'Occ T3'!A36</f>
        <v>62 Leisure, travel and related personal service occupations</v>
      </c>
      <c r="M81" s="307">
        <f t="shared" ref="M81:AD81" si="121">M34/M$49</f>
        <v>1.8343121628454549E-2</v>
      </c>
      <c r="N81" s="307">
        <f t="shared" si="121"/>
        <v>2.1050298742479181E-2</v>
      </c>
      <c r="O81" s="307">
        <f t="shared" si="121"/>
        <v>1.9702091394715727E-2</v>
      </c>
      <c r="P81" s="307">
        <f t="shared" si="121"/>
        <v>2.0035257998305769E-2</v>
      </c>
      <c r="Q81" s="307">
        <f t="shared" si="121"/>
        <v>1.9180676054526325E-2</v>
      </c>
      <c r="R81" s="307">
        <f t="shared" si="121"/>
        <v>2.2711943313888476E-2</v>
      </c>
      <c r="S81" s="307">
        <f t="shared" si="121"/>
        <v>2.2999629184065846E-2</v>
      </c>
      <c r="T81" s="307">
        <f t="shared" si="121"/>
        <v>2.2151438911409114E-2</v>
      </c>
      <c r="U81" s="307">
        <f t="shared" si="121"/>
        <v>1.9684974197653277E-2</v>
      </c>
      <c r="V81" s="307">
        <f t="shared" si="121"/>
        <v>1.9666146777892503E-2</v>
      </c>
      <c r="W81" s="307">
        <f t="shared" si="121"/>
        <v>1.8504874887308152E-2</v>
      </c>
      <c r="X81" s="307">
        <f t="shared" si="121"/>
        <v>1.6922854173507654E-2</v>
      </c>
      <c r="Y81" s="307">
        <f t="shared" si="121"/>
        <v>1.6854575725356022E-2</v>
      </c>
      <c r="Z81" s="307">
        <f t="shared" si="121"/>
        <v>1.6802026580153076E-2</v>
      </c>
      <c r="AA81" s="307">
        <f t="shared" si="121"/>
        <v>1.6744499833508977E-2</v>
      </c>
      <c r="AB81" s="307">
        <f t="shared" si="121"/>
        <v>1.6691503810020603E-2</v>
      </c>
      <c r="AC81" s="307">
        <f t="shared" si="121"/>
        <v>1.6643666641696538E-2</v>
      </c>
      <c r="AD81" s="307">
        <f t="shared" si="121"/>
        <v>1.6597049837903853E-2</v>
      </c>
      <c r="AE81" s="307">
        <f t="shared" ref="AE81:AL81" si="122">AE34/AE$49</f>
        <v>1.6541396576090436E-2</v>
      </c>
      <c r="AF81" s="307">
        <f t="shared" si="122"/>
        <v>1.6480994009371742E-2</v>
      </c>
      <c r="AG81" s="307">
        <f t="shared" si="122"/>
        <v>1.6418088273809861E-2</v>
      </c>
      <c r="AH81" s="307">
        <f t="shared" si="122"/>
        <v>1.6358914415282214E-2</v>
      </c>
      <c r="AI81" s="307">
        <f t="shared" si="122"/>
        <v>1.6296375118641366E-2</v>
      </c>
      <c r="AJ81" s="307">
        <f t="shared" si="122"/>
        <v>1.6227485658154652E-2</v>
      </c>
      <c r="AK81" s="307">
        <f t="shared" si="122"/>
        <v>1.6170654325334832E-2</v>
      </c>
      <c r="AL81" s="307">
        <f t="shared" si="122"/>
        <v>1.6118991095586389E-2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>
      <c r="L82" s="108" t="str">
        <f>'Occ T3'!A37</f>
        <v>63 Community and civil enforcement occupations</v>
      </c>
      <c r="M82" s="307">
        <f t="shared" ref="M82:AD82" si="123">M35/M$49</f>
        <v>1.4385482198872013E-3</v>
      </c>
      <c r="N82" s="307">
        <f t="shared" si="123"/>
        <v>9.8258580390728255E-4</v>
      </c>
      <c r="O82" s="307">
        <f t="shared" si="123"/>
        <v>1.0239547601601435E-3</v>
      </c>
      <c r="P82" s="307">
        <f t="shared" si="123"/>
        <v>8.9623347996493235E-4</v>
      </c>
      <c r="Q82" s="307">
        <f t="shared" si="123"/>
        <v>1.0337209522495419E-3</v>
      </c>
      <c r="R82" s="307">
        <f t="shared" si="123"/>
        <v>8.8351343915292393E-4</v>
      </c>
      <c r="S82" s="307">
        <f t="shared" si="123"/>
        <v>7.5692479744354042E-4</v>
      </c>
      <c r="T82" s="307">
        <f t="shared" si="123"/>
        <v>8.057725558676946E-4</v>
      </c>
      <c r="U82" s="307">
        <f t="shared" si="123"/>
        <v>8.4230878202362072E-4</v>
      </c>
      <c r="V82" s="307">
        <f t="shared" si="123"/>
        <v>7.2061366072347153E-4</v>
      </c>
      <c r="W82" s="307">
        <f t="shared" si="123"/>
        <v>9.0072543446933009E-4</v>
      </c>
      <c r="X82" s="307">
        <f t="shared" si="123"/>
        <v>6.4680859398579937E-4</v>
      </c>
      <c r="Y82" s="307">
        <f t="shared" si="123"/>
        <v>6.5216737837930157E-4</v>
      </c>
      <c r="Z82" s="307">
        <f t="shared" si="123"/>
        <v>6.575343522675092E-4</v>
      </c>
      <c r="AA82" s="307">
        <f t="shared" si="123"/>
        <v>6.634066703750703E-4</v>
      </c>
      <c r="AB82" s="307">
        <f t="shared" si="123"/>
        <v>6.7085735249985295E-4</v>
      </c>
      <c r="AC82" s="307">
        <f t="shared" si="123"/>
        <v>6.7595007414832727E-4</v>
      </c>
      <c r="AD82" s="307">
        <f t="shared" si="123"/>
        <v>6.8088799197488497E-4</v>
      </c>
      <c r="AE82" s="307">
        <f t="shared" ref="AE82:AL82" si="124">AE35/AE$49</f>
        <v>6.8379083309481718E-4</v>
      </c>
      <c r="AF82" s="307">
        <f t="shared" si="124"/>
        <v>6.9104922804576771E-4</v>
      </c>
      <c r="AG82" s="307">
        <f t="shared" si="124"/>
        <v>6.9564554702771094E-4</v>
      </c>
      <c r="AH82" s="307">
        <f t="shared" si="124"/>
        <v>7.0018909327015087E-4</v>
      </c>
      <c r="AI82" s="307">
        <f t="shared" si="124"/>
        <v>7.0280672184906646E-4</v>
      </c>
      <c r="AJ82" s="307">
        <f t="shared" si="124"/>
        <v>7.094813992755707E-4</v>
      </c>
      <c r="AK82" s="307">
        <f t="shared" si="124"/>
        <v>7.1212406942025087E-4</v>
      </c>
      <c r="AL82" s="307">
        <f t="shared" si="124"/>
        <v>7.1855554949622235E-4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>
      <c r="L83" s="108"/>
      <c r="M83" s="307"/>
      <c r="N83" s="307"/>
      <c r="O83" s="307"/>
      <c r="P83" s="307"/>
      <c r="Q83" s="307"/>
      <c r="R83" s="307"/>
      <c r="S83" s="307"/>
      <c r="T83" s="307"/>
      <c r="U83" s="307"/>
      <c r="V83" s="307"/>
      <c r="W83" s="307"/>
      <c r="X83" s="307"/>
      <c r="Y83" s="307"/>
      <c r="Z83" s="307"/>
      <c r="AA83" s="307"/>
      <c r="AB83" s="307"/>
      <c r="AC83" s="307"/>
      <c r="AD83" s="307"/>
      <c r="AE83" s="307"/>
      <c r="AF83" s="307"/>
      <c r="AG83" s="307"/>
      <c r="AH83" s="307"/>
      <c r="AI83" s="307"/>
      <c r="AJ83" s="307"/>
      <c r="AK83" s="307"/>
      <c r="AL83" s="307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>
      <c r="L84" s="17" t="str">
        <f>'Occ T3'!A39</f>
        <v>Sales and customer service occupations</v>
      </c>
      <c r="M84" s="308">
        <f t="shared" ref="M84:AD84" si="125">M37/M$49</f>
        <v>8.5119876663777863E-2</v>
      </c>
      <c r="N84" s="308">
        <f t="shared" si="125"/>
        <v>8.8528016047659433E-2</v>
      </c>
      <c r="O84" s="308">
        <f t="shared" si="125"/>
        <v>8.9807502438832357E-2</v>
      </c>
      <c r="P84" s="308">
        <f t="shared" si="125"/>
        <v>8.9376796090451988E-2</v>
      </c>
      <c r="Q84" s="308">
        <f t="shared" si="125"/>
        <v>9.0838231741617634E-2</v>
      </c>
      <c r="R84" s="308">
        <f t="shared" si="125"/>
        <v>8.5671966726316884E-2</v>
      </c>
      <c r="S84" s="308">
        <f t="shared" si="125"/>
        <v>8.3705369675430824E-2</v>
      </c>
      <c r="T84" s="308">
        <f t="shared" si="125"/>
        <v>8.4953139745357814E-2</v>
      </c>
      <c r="U84" s="308">
        <f t="shared" si="125"/>
        <v>8.1627247886259968E-2</v>
      </c>
      <c r="V84" s="308">
        <f t="shared" si="125"/>
        <v>7.7626693085705703E-2</v>
      </c>
      <c r="W84" s="308">
        <f t="shared" si="125"/>
        <v>7.9283074645790055E-2</v>
      </c>
      <c r="X84" s="308">
        <f t="shared" si="125"/>
        <v>7.8274152252149787E-2</v>
      </c>
      <c r="Y84" s="308">
        <f t="shared" si="125"/>
        <v>7.8149113184295377E-2</v>
      </c>
      <c r="Z84" s="308">
        <f t="shared" si="125"/>
        <v>7.8018993447338314E-2</v>
      </c>
      <c r="AA84" s="308">
        <f t="shared" si="125"/>
        <v>7.7788132615292938E-2</v>
      </c>
      <c r="AB84" s="308">
        <f t="shared" si="125"/>
        <v>7.7485334498117689E-2</v>
      </c>
      <c r="AC84" s="308">
        <f t="shared" si="125"/>
        <v>7.7188820049728962E-2</v>
      </c>
      <c r="AD84" s="308">
        <f t="shared" si="125"/>
        <v>7.6903546023099886E-2</v>
      </c>
      <c r="AE84" s="308">
        <f t="shared" ref="AE84:AL84" si="126">AE37/AE$49</f>
        <v>7.6632449524413615E-2</v>
      </c>
      <c r="AF84" s="308">
        <f t="shared" si="126"/>
        <v>7.6366993812535588E-2</v>
      </c>
      <c r="AG84" s="308">
        <f t="shared" si="126"/>
        <v>7.6079336859953578E-2</v>
      </c>
      <c r="AH84" s="308">
        <f t="shared" si="126"/>
        <v>7.5886826859044701E-2</v>
      </c>
      <c r="AI84" s="308">
        <f t="shared" si="126"/>
        <v>7.5669629654303044E-2</v>
      </c>
      <c r="AJ84" s="308">
        <f t="shared" si="126"/>
        <v>7.5447508497934745E-2</v>
      </c>
      <c r="AK84" s="308">
        <f t="shared" si="126"/>
        <v>7.5185681165042331E-2</v>
      </c>
      <c r="AL84" s="308">
        <f t="shared" si="126"/>
        <v>7.4876007395524455E-2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>
      <c r="L85" s="108" t="str">
        <f>'Occ T3'!A40</f>
        <v>71 Sales occupations</v>
      </c>
      <c r="M85" s="307">
        <f t="shared" ref="M85:AD85" si="127">M38/M$49</f>
        <v>6.796476887346356E-2</v>
      </c>
      <c r="N85" s="307">
        <f t="shared" si="127"/>
        <v>7.1213596122178466E-2</v>
      </c>
      <c r="O85" s="307">
        <f t="shared" si="127"/>
        <v>7.2220557872666374E-2</v>
      </c>
      <c r="P85" s="307">
        <f t="shared" si="127"/>
        <v>7.1908743154364629E-2</v>
      </c>
      <c r="Q85" s="307">
        <f t="shared" si="127"/>
        <v>7.454076472073129E-2</v>
      </c>
      <c r="R85" s="307">
        <f t="shared" si="127"/>
        <v>6.7694566044031151E-2</v>
      </c>
      <c r="S85" s="307">
        <f t="shared" si="127"/>
        <v>6.5998392035832951E-2</v>
      </c>
      <c r="T85" s="307">
        <f t="shared" si="127"/>
        <v>6.5763864074995335E-2</v>
      </c>
      <c r="U85" s="307">
        <f t="shared" si="127"/>
        <v>6.2924929709566729E-2</v>
      </c>
      <c r="V85" s="307">
        <f t="shared" si="127"/>
        <v>6.0275322571167141E-2</v>
      </c>
      <c r="W85" s="307">
        <f t="shared" si="127"/>
        <v>6.0965951089223973E-2</v>
      </c>
      <c r="X85" s="307">
        <f t="shared" si="127"/>
        <v>5.8964507093950978E-2</v>
      </c>
      <c r="Y85" s="307">
        <f t="shared" si="127"/>
        <v>5.8625481316754789E-2</v>
      </c>
      <c r="Z85" s="307">
        <f t="shared" si="127"/>
        <v>5.8321382491710615E-2</v>
      </c>
      <c r="AA85" s="307">
        <f t="shared" si="127"/>
        <v>5.7939269772884203E-2</v>
      </c>
      <c r="AB85" s="307">
        <f t="shared" si="127"/>
        <v>5.7493059035743851E-2</v>
      </c>
      <c r="AC85" s="307">
        <f t="shared" si="127"/>
        <v>5.7053915264800338E-2</v>
      </c>
      <c r="AD85" s="307">
        <f t="shared" si="127"/>
        <v>5.6612991253396736E-2</v>
      </c>
      <c r="AE85" s="307">
        <f t="shared" ref="AE85:AL85" si="128">AE38/AE$49</f>
        <v>5.6174587455263651E-2</v>
      </c>
      <c r="AF85" s="307">
        <f t="shared" si="128"/>
        <v>5.5736667746075517E-2</v>
      </c>
      <c r="AG85" s="307">
        <f t="shared" si="128"/>
        <v>5.5280070932817067E-2</v>
      </c>
      <c r="AH85" s="307">
        <f t="shared" si="128"/>
        <v>5.4931296247452834E-2</v>
      </c>
      <c r="AI85" s="307">
        <f t="shared" si="128"/>
        <v>5.4563792736164136E-2</v>
      </c>
      <c r="AJ85" s="307">
        <f t="shared" si="128"/>
        <v>5.4180875454935523E-2</v>
      </c>
      <c r="AK85" s="307">
        <f t="shared" si="128"/>
        <v>5.3760269501023666E-2</v>
      </c>
      <c r="AL85" s="307">
        <f t="shared" si="128"/>
        <v>5.32879944060747E-2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>
      <c r="L86" s="108" t="str">
        <f>'Occ T3'!A41</f>
        <v>72 Customer service occupations</v>
      </c>
      <c r="M86" s="307">
        <f t="shared" ref="M86:AD86" si="129">M39/M$49</f>
        <v>1.7155107790314313E-2</v>
      </c>
      <c r="N86" s="307">
        <f t="shared" si="129"/>
        <v>1.7314419925480981E-2</v>
      </c>
      <c r="O86" s="307">
        <f t="shared" si="129"/>
        <v>1.7586944566165986E-2</v>
      </c>
      <c r="P86" s="307">
        <f t="shared" si="129"/>
        <v>1.7468052936087362E-2</v>
      </c>
      <c r="Q86" s="307">
        <f t="shared" si="129"/>
        <v>1.6297467020886344E-2</v>
      </c>
      <c r="R86" s="307">
        <f t="shared" si="129"/>
        <v>1.7977400682285729E-2</v>
      </c>
      <c r="S86" s="307">
        <f t="shared" si="129"/>
        <v>1.770697763959788E-2</v>
      </c>
      <c r="T86" s="307">
        <f t="shared" si="129"/>
        <v>1.9189275670362473E-2</v>
      </c>
      <c r="U86" s="307">
        <f t="shared" si="129"/>
        <v>1.8702318176693242E-2</v>
      </c>
      <c r="V86" s="307">
        <f t="shared" si="129"/>
        <v>1.7351370514538562E-2</v>
      </c>
      <c r="W86" s="307">
        <f t="shared" si="129"/>
        <v>1.8317123556566086E-2</v>
      </c>
      <c r="X86" s="307">
        <f t="shared" si="129"/>
        <v>1.9309645158198815E-2</v>
      </c>
      <c r="Y86" s="307">
        <f t="shared" si="129"/>
        <v>1.9523631867540584E-2</v>
      </c>
      <c r="Z86" s="307">
        <f t="shared" si="129"/>
        <v>1.9697610955627706E-2</v>
      </c>
      <c r="AA86" s="307">
        <f t="shared" si="129"/>
        <v>1.9848862842408735E-2</v>
      </c>
      <c r="AB86" s="307">
        <f t="shared" si="129"/>
        <v>1.9992275462373851E-2</v>
      </c>
      <c r="AC86" s="307">
        <f t="shared" si="129"/>
        <v>2.0134904784928624E-2</v>
      </c>
      <c r="AD86" s="307">
        <f t="shared" si="129"/>
        <v>2.0290554769703154E-2</v>
      </c>
      <c r="AE86" s="307">
        <f t="shared" ref="AE86:AL86" si="130">AE39/AE$49</f>
        <v>2.0457862069149971E-2</v>
      </c>
      <c r="AF86" s="307">
        <f t="shared" si="130"/>
        <v>2.0630326066460071E-2</v>
      </c>
      <c r="AG86" s="307">
        <f t="shared" si="130"/>
        <v>2.0799265927136504E-2</v>
      </c>
      <c r="AH86" s="307">
        <f t="shared" si="130"/>
        <v>2.0955530611591878E-2</v>
      </c>
      <c r="AI86" s="307">
        <f t="shared" si="130"/>
        <v>2.1105836918138905E-2</v>
      </c>
      <c r="AJ86" s="307">
        <f t="shared" si="130"/>
        <v>2.1266633042999212E-2</v>
      </c>
      <c r="AK86" s="307">
        <f t="shared" si="130"/>
        <v>2.1425411664018668E-2</v>
      </c>
      <c r="AL86" s="307">
        <f t="shared" si="130"/>
        <v>2.1588012989449758E-2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>
      <c r="L87" s="108"/>
      <c r="M87" s="307"/>
      <c r="N87" s="307"/>
      <c r="O87" s="307"/>
      <c r="P87" s="307"/>
      <c r="Q87" s="307"/>
      <c r="R87" s="307"/>
      <c r="S87" s="307"/>
      <c r="T87" s="307"/>
      <c r="U87" s="307"/>
      <c r="V87" s="307"/>
      <c r="W87" s="307"/>
      <c r="X87" s="307"/>
      <c r="Y87" s="307"/>
      <c r="Z87" s="307"/>
      <c r="AA87" s="307"/>
      <c r="AB87" s="307"/>
      <c r="AC87" s="307"/>
      <c r="AD87" s="307"/>
      <c r="AE87" s="307"/>
      <c r="AF87" s="307"/>
      <c r="AG87" s="307"/>
      <c r="AH87" s="307"/>
      <c r="AI87" s="307"/>
      <c r="AJ87" s="307"/>
      <c r="AK87" s="307"/>
      <c r="AL87" s="307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>
      <c r="L88" s="17" t="str">
        <f>'Occ T3'!A43</f>
        <v>Process, plant and machine operatives</v>
      </c>
      <c r="M88" s="308">
        <f t="shared" ref="M88:AD88" si="131">M41/M$49</f>
        <v>8.8399350127579643E-2</v>
      </c>
      <c r="N88" s="308">
        <f t="shared" si="131"/>
        <v>8.5105393953697636E-2</v>
      </c>
      <c r="O88" s="308">
        <f t="shared" si="131"/>
        <v>8.9500200357665941E-2</v>
      </c>
      <c r="P88" s="308">
        <f t="shared" si="131"/>
        <v>8.8000253561583225E-2</v>
      </c>
      <c r="Q88" s="308">
        <f t="shared" si="131"/>
        <v>9.0813125576481607E-2</v>
      </c>
      <c r="R88" s="308">
        <f t="shared" si="131"/>
        <v>9.3244120522857965E-2</v>
      </c>
      <c r="S88" s="308">
        <f t="shared" si="131"/>
        <v>9.0802116745560491E-2</v>
      </c>
      <c r="T88" s="308">
        <f t="shared" si="131"/>
        <v>8.8081455467191205E-2</v>
      </c>
      <c r="U88" s="308">
        <f t="shared" si="131"/>
        <v>9.1284976678950885E-2</v>
      </c>
      <c r="V88" s="308">
        <f t="shared" si="131"/>
        <v>9.1330922900737438E-2</v>
      </c>
      <c r="W88" s="308">
        <f t="shared" si="131"/>
        <v>8.1335877310080462E-2</v>
      </c>
      <c r="X88" s="308">
        <f t="shared" si="131"/>
        <v>8.4285911631461083E-2</v>
      </c>
      <c r="Y88" s="308">
        <f t="shared" si="131"/>
        <v>8.3707598222536761E-2</v>
      </c>
      <c r="Z88" s="308">
        <f t="shared" si="131"/>
        <v>8.317898820930994E-2</v>
      </c>
      <c r="AA88" s="308">
        <f t="shared" si="131"/>
        <v>8.267371303266309E-2</v>
      </c>
      <c r="AB88" s="308">
        <f t="shared" si="131"/>
        <v>8.2121641743469684E-2</v>
      </c>
      <c r="AC88" s="308">
        <f t="shared" si="131"/>
        <v>8.1676618140714211E-2</v>
      </c>
      <c r="AD88" s="308">
        <f t="shared" si="131"/>
        <v>8.1231541292041493E-2</v>
      </c>
      <c r="AE88" s="308">
        <f t="shared" ref="AE88:AL88" si="132">AE41/AE$49</f>
        <v>8.0764133858496012E-2</v>
      </c>
      <c r="AF88" s="308">
        <f t="shared" si="132"/>
        <v>8.0262559689776483E-2</v>
      </c>
      <c r="AG88" s="308">
        <f t="shared" si="132"/>
        <v>7.9763254138039794E-2</v>
      </c>
      <c r="AH88" s="308">
        <f t="shared" si="132"/>
        <v>7.9234870938052177E-2</v>
      </c>
      <c r="AI88" s="308">
        <f t="shared" si="132"/>
        <v>7.8732449660970663E-2</v>
      </c>
      <c r="AJ88" s="308">
        <f t="shared" si="132"/>
        <v>7.8207966463853015E-2</v>
      </c>
      <c r="AK88" s="308">
        <f t="shared" si="132"/>
        <v>7.7628722320816676E-2</v>
      </c>
      <c r="AL88" s="308">
        <f t="shared" si="132"/>
        <v>7.7019254426929737E-2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>
      <c r="L89" s="108" t="str">
        <f>'Occ T3'!A44</f>
        <v>81 Process, plant and machine operatives</v>
      </c>
      <c r="M89" s="307">
        <f t="shared" ref="M89:AD89" si="133">M42/M$49</f>
        <v>4.6399766432984831E-2</v>
      </c>
      <c r="N89" s="307">
        <f t="shared" si="133"/>
        <v>4.4616128956184879E-2</v>
      </c>
      <c r="O89" s="307">
        <f t="shared" si="133"/>
        <v>4.4475547682561171E-2</v>
      </c>
      <c r="P89" s="307">
        <f t="shared" si="133"/>
        <v>4.6973061450833416E-2</v>
      </c>
      <c r="Q89" s="307">
        <f t="shared" si="133"/>
        <v>4.7203655420211564E-2</v>
      </c>
      <c r="R89" s="307">
        <f t="shared" si="133"/>
        <v>4.552889051529501E-2</v>
      </c>
      <c r="S89" s="307">
        <f t="shared" si="133"/>
        <v>4.341271519276127E-2</v>
      </c>
      <c r="T89" s="307">
        <f t="shared" si="133"/>
        <v>4.3001638208973285E-2</v>
      </c>
      <c r="U89" s="307">
        <f t="shared" si="133"/>
        <v>4.4366072396346844E-2</v>
      </c>
      <c r="V89" s="307">
        <f t="shared" si="133"/>
        <v>4.262744203274197E-2</v>
      </c>
      <c r="W89" s="307">
        <f t="shared" si="133"/>
        <v>3.7047844174783462E-2</v>
      </c>
      <c r="X89" s="307">
        <f t="shared" si="133"/>
        <v>3.911010881957739E-2</v>
      </c>
      <c r="Y89" s="307">
        <f t="shared" si="133"/>
        <v>3.8675411956095293E-2</v>
      </c>
      <c r="Z89" s="307">
        <f t="shared" si="133"/>
        <v>3.8228882656539245E-2</v>
      </c>
      <c r="AA89" s="307">
        <f t="shared" si="133"/>
        <v>3.7824739256272243E-2</v>
      </c>
      <c r="AB89" s="307">
        <f t="shared" si="133"/>
        <v>3.7368677812144528E-2</v>
      </c>
      <c r="AC89" s="307">
        <f t="shared" si="133"/>
        <v>3.7028416941431753E-2</v>
      </c>
      <c r="AD89" s="307">
        <f t="shared" si="133"/>
        <v>3.6688710313247219E-2</v>
      </c>
      <c r="AE89" s="307">
        <f t="shared" ref="AE89:AL89" si="134">AE42/AE$49</f>
        <v>3.6331517153056769E-2</v>
      </c>
      <c r="AF89" s="307">
        <f t="shared" si="134"/>
        <v>3.5947216532242511E-2</v>
      </c>
      <c r="AG89" s="307">
        <f t="shared" si="134"/>
        <v>3.5565786811832464E-2</v>
      </c>
      <c r="AH89" s="307">
        <f t="shared" si="134"/>
        <v>3.5175048660178947E-2</v>
      </c>
      <c r="AI89" s="307">
        <f t="shared" si="134"/>
        <v>3.4809629320207536E-2</v>
      </c>
      <c r="AJ89" s="307">
        <f t="shared" si="134"/>
        <v>3.4430729885101048E-2</v>
      </c>
      <c r="AK89" s="307">
        <f t="shared" si="134"/>
        <v>3.4004169109208074E-2</v>
      </c>
      <c r="AL89" s="307">
        <f t="shared" si="134"/>
        <v>3.355594731643223E-2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>
      <c r="L90" s="108" t="str">
        <f>'Occ T3'!A45</f>
        <v>82 Transport and mobile machine drivers and operatives</v>
      </c>
      <c r="M90" s="307">
        <f t="shared" ref="M90:AD90" si="135">M43/M$49</f>
        <v>4.1999583694594819E-2</v>
      </c>
      <c r="N90" s="307">
        <f t="shared" si="135"/>
        <v>4.048926499751275E-2</v>
      </c>
      <c r="O90" s="307">
        <f t="shared" si="135"/>
        <v>4.5024652675104776E-2</v>
      </c>
      <c r="P90" s="307">
        <f t="shared" si="135"/>
        <v>4.1027192110749795E-2</v>
      </c>
      <c r="Q90" s="307">
        <f t="shared" si="135"/>
        <v>4.3609470156270043E-2</v>
      </c>
      <c r="R90" s="307">
        <f t="shared" si="135"/>
        <v>4.7715230007562955E-2</v>
      </c>
      <c r="S90" s="307">
        <f t="shared" si="135"/>
        <v>4.7389401552799207E-2</v>
      </c>
      <c r="T90" s="307">
        <f t="shared" si="135"/>
        <v>4.507981725821792E-2</v>
      </c>
      <c r="U90" s="307">
        <f t="shared" si="135"/>
        <v>4.6918904282604035E-2</v>
      </c>
      <c r="V90" s="307">
        <f t="shared" si="135"/>
        <v>4.8703480867995468E-2</v>
      </c>
      <c r="W90" s="307">
        <f t="shared" si="135"/>
        <v>4.4288033135297014E-2</v>
      </c>
      <c r="X90" s="307">
        <f t="shared" si="135"/>
        <v>4.5175802811883707E-2</v>
      </c>
      <c r="Y90" s="307">
        <f t="shared" si="135"/>
        <v>4.5032186266441468E-2</v>
      </c>
      <c r="Z90" s="307">
        <f t="shared" si="135"/>
        <v>4.4950105552770701E-2</v>
      </c>
      <c r="AA90" s="307">
        <f t="shared" si="135"/>
        <v>4.4848973776390841E-2</v>
      </c>
      <c r="AB90" s="307">
        <f t="shared" si="135"/>
        <v>4.4752963931325149E-2</v>
      </c>
      <c r="AC90" s="307">
        <f t="shared" si="135"/>
        <v>4.4648201199282457E-2</v>
      </c>
      <c r="AD90" s="307">
        <f t="shared" si="135"/>
        <v>4.4542830978794266E-2</v>
      </c>
      <c r="AE90" s="307">
        <f t="shared" ref="AE90:AL90" si="136">AE43/AE$49</f>
        <v>4.443261670543925E-2</v>
      </c>
      <c r="AF90" s="307">
        <f t="shared" si="136"/>
        <v>4.4315343157533972E-2</v>
      </c>
      <c r="AG90" s="307">
        <f t="shared" si="136"/>
        <v>4.4197467326207336E-2</v>
      </c>
      <c r="AH90" s="307">
        <f t="shared" si="136"/>
        <v>4.4059822277873223E-2</v>
      </c>
      <c r="AI90" s="307">
        <f t="shared" si="136"/>
        <v>4.392282034076312E-2</v>
      </c>
      <c r="AJ90" s="307">
        <f t="shared" si="136"/>
        <v>4.3777236578751953E-2</v>
      </c>
      <c r="AK90" s="307">
        <f t="shared" si="136"/>
        <v>4.3624553211608602E-2</v>
      </c>
      <c r="AL90" s="307">
        <f t="shared" si="136"/>
        <v>4.3463307110497507E-2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>
      <c r="L91" s="108"/>
      <c r="M91" s="307"/>
      <c r="N91" s="307"/>
      <c r="O91" s="307"/>
      <c r="P91" s="307"/>
      <c r="Q91" s="307"/>
      <c r="R91" s="307"/>
      <c r="S91" s="307"/>
      <c r="T91" s="307"/>
      <c r="U91" s="307"/>
      <c r="V91" s="307"/>
      <c r="W91" s="307"/>
      <c r="X91" s="307"/>
      <c r="Y91" s="307"/>
      <c r="Z91" s="307"/>
      <c r="AA91" s="307"/>
      <c r="AB91" s="307"/>
      <c r="AC91" s="307"/>
      <c r="AD91" s="307"/>
      <c r="AE91" s="307"/>
      <c r="AF91" s="307"/>
      <c r="AG91" s="307"/>
      <c r="AH91" s="307"/>
      <c r="AI91" s="307"/>
      <c r="AJ91" s="307"/>
      <c r="AK91" s="307"/>
      <c r="AL91" s="307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>
      <c r="L92" s="17" t="str">
        <f>'Occ T3'!A47</f>
        <v>Elementary occupations</v>
      </c>
      <c r="M92" s="308">
        <f t="shared" ref="M92:AD92" si="137">M45/M$49</f>
        <v>0.11634529505251058</v>
      </c>
      <c r="N92" s="308">
        <f t="shared" si="137"/>
        <v>0.11099474759217248</v>
      </c>
      <c r="O92" s="308">
        <f t="shared" si="137"/>
        <v>0.11133669109130567</v>
      </c>
      <c r="P92" s="308">
        <f t="shared" si="137"/>
        <v>0.10685972722689785</v>
      </c>
      <c r="Q92" s="308">
        <f t="shared" si="137"/>
        <v>0.10746704460669275</v>
      </c>
      <c r="R92" s="308">
        <f t="shared" si="137"/>
        <v>0.11266657366268604</v>
      </c>
      <c r="S92" s="308">
        <f t="shared" si="137"/>
        <v>0.11169026166626213</v>
      </c>
      <c r="T92" s="308">
        <f t="shared" si="137"/>
        <v>0.10766183608474943</v>
      </c>
      <c r="U92" s="308">
        <f t="shared" si="137"/>
        <v>0.10467598101418264</v>
      </c>
      <c r="V92" s="308">
        <f t="shared" si="137"/>
        <v>0.10118810428679198</v>
      </c>
      <c r="W92" s="308">
        <f t="shared" si="137"/>
        <v>9.3283742250192175E-2</v>
      </c>
      <c r="X92" s="308">
        <f t="shared" si="137"/>
        <v>9.7910558722293858E-2</v>
      </c>
      <c r="Y92" s="308">
        <f t="shared" si="137"/>
        <v>9.7372594094264422E-2</v>
      </c>
      <c r="Z92" s="308">
        <f t="shared" si="137"/>
        <v>9.6545503112324391E-2</v>
      </c>
      <c r="AA92" s="308">
        <f t="shared" si="137"/>
        <v>9.5628399683448023E-2</v>
      </c>
      <c r="AB92" s="308">
        <f t="shared" si="137"/>
        <v>9.4926190799642013E-2</v>
      </c>
      <c r="AC92" s="308">
        <f t="shared" si="137"/>
        <v>9.4198468182108988E-2</v>
      </c>
      <c r="AD92" s="308">
        <f t="shared" si="137"/>
        <v>9.3381076299596341E-2</v>
      </c>
      <c r="AE92" s="308">
        <f t="shared" ref="AE92:AL92" si="138">AE45/AE$49</f>
        <v>9.2622188861978968E-2</v>
      </c>
      <c r="AF92" s="308">
        <f t="shared" si="138"/>
        <v>9.1905277510929376E-2</v>
      </c>
      <c r="AG92" s="308">
        <f t="shared" si="138"/>
        <v>9.1210822621059867E-2</v>
      </c>
      <c r="AH92" s="308">
        <f t="shared" si="138"/>
        <v>9.0489735876731522E-2</v>
      </c>
      <c r="AI92" s="308">
        <f t="shared" si="138"/>
        <v>8.9850618518870676E-2</v>
      </c>
      <c r="AJ92" s="308">
        <f t="shared" si="138"/>
        <v>8.9237027786499376E-2</v>
      </c>
      <c r="AK92" s="308">
        <f t="shared" si="138"/>
        <v>8.8648448432404367E-2</v>
      </c>
      <c r="AL92" s="308">
        <f t="shared" si="138"/>
        <v>8.8089818201452369E-2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>
      <c r="L93" s="108" t="str">
        <f>'Occ T3'!A48</f>
        <v>91 Elementary trades and related occupations</v>
      </c>
      <c r="M93" s="307">
        <f t="shared" ref="M93:AD93" si="139">M46/M$49</f>
        <v>2.0439198100948935E-2</v>
      </c>
      <c r="N93" s="307">
        <f t="shared" si="139"/>
        <v>2.0038527943271874E-2</v>
      </c>
      <c r="O93" s="307">
        <f t="shared" si="139"/>
        <v>2.0013233653739311E-2</v>
      </c>
      <c r="P93" s="307">
        <f t="shared" si="139"/>
        <v>2.0031439646814E-2</v>
      </c>
      <c r="Q93" s="307">
        <f t="shared" si="139"/>
        <v>2.1354967427871734E-2</v>
      </c>
      <c r="R93" s="307">
        <f t="shared" si="139"/>
        <v>2.2722126228243187E-2</v>
      </c>
      <c r="S93" s="307">
        <f t="shared" si="139"/>
        <v>2.2146047742819284E-2</v>
      </c>
      <c r="T93" s="307">
        <f t="shared" si="139"/>
        <v>1.9605777418620077E-2</v>
      </c>
      <c r="U93" s="307">
        <f t="shared" si="139"/>
        <v>2.0313999416792489E-2</v>
      </c>
      <c r="V93" s="307">
        <f t="shared" si="139"/>
        <v>1.928111951250263E-2</v>
      </c>
      <c r="W93" s="307">
        <f t="shared" si="139"/>
        <v>1.7327687405521965E-2</v>
      </c>
      <c r="X93" s="307">
        <f t="shared" si="139"/>
        <v>2.8616347969534404E-2</v>
      </c>
      <c r="Y93" s="307">
        <f t="shared" si="139"/>
        <v>2.8808325335569221E-2</v>
      </c>
      <c r="Z93" s="307">
        <f t="shared" si="139"/>
        <v>2.9041160804009768E-2</v>
      </c>
      <c r="AA93" s="307">
        <f t="shared" si="139"/>
        <v>2.9277349798370135E-2</v>
      </c>
      <c r="AB93" s="307">
        <f t="shared" si="139"/>
        <v>2.954080867193595E-2</v>
      </c>
      <c r="AC93" s="307">
        <f t="shared" si="139"/>
        <v>2.9791069121177446E-2</v>
      </c>
      <c r="AD93" s="307">
        <f t="shared" si="139"/>
        <v>3.0016473053707443E-2</v>
      </c>
      <c r="AE93" s="307">
        <f t="shared" ref="AE93:AL93" si="140">AE46/AE$49</f>
        <v>3.0219316690979013E-2</v>
      </c>
      <c r="AF93" s="307">
        <f t="shared" si="140"/>
        <v>3.0402954009042367E-2</v>
      </c>
      <c r="AG93" s="307">
        <f t="shared" si="140"/>
        <v>3.0570858764910242E-2</v>
      </c>
      <c r="AH93" s="307">
        <f t="shared" si="140"/>
        <v>3.0723288146498412E-2</v>
      </c>
      <c r="AI93" s="307">
        <f t="shared" si="140"/>
        <v>3.091663086687203E-2</v>
      </c>
      <c r="AJ93" s="307">
        <f t="shared" si="140"/>
        <v>3.1131730856506279E-2</v>
      </c>
      <c r="AK93" s="307">
        <f t="shared" si="140"/>
        <v>3.1371821417240819E-2</v>
      </c>
      <c r="AL93" s="307">
        <f t="shared" si="140"/>
        <v>3.1606431356733487E-2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>
      <c r="L94" s="108" t="str">
        <f>'Occ T3'!A49</f>
        <v>92 Elementary administration and service occupations</v>
      </c>
      <c r="M94" s="307">
        <f t="shared" ref="M94:AD94" si="141">M47/M$49</f>
        <v>9.5906096951561645E-2</v>
      </c>
      <c r="N94" s="307">
        <f t="shared" si="141"/>
        <v>9.0956219648900605E-2</v>
      </c>
      <c r="O94" s="307">
        <f t="shared" si="141"/>
        <v>9.1323457437566369E-2</v>
      </c>
      <c r="P94" s="307">
        <f t="shared" si="141"/>
        <v>8.6828287580083846E-2</v>
      </c>
      <c r="Q94" s="307">
        <f t="shared" si="141"/>
        <v>8.6112077178821009E-2</v>
      </c>
      <c r="R94" s="307">
        <f t="shared" si="141"/>
        <v>8.9944447434442854E-2</v>
      </c>
      <c r="S94" s="307">
        <f t="shared" si="141"/>
        <v>8.9544213923442847E-2</v>
      </c>
      <c r="T94" s="307">
        <f t="shared" si="141"/>
        <v>8.8056058666129353E-2</v>
      </c>
      <c r="U94" s="307">
        <f t="shared" si="141"/>
        <v>8.4361981597390154E-2</v>
      </c>
      <c r="V94" s="307">
        <f t="shared" si="141"/>
        <v>8.1906984774289357E-2</v>
      </c>
      <c r="W94" s="307">
        <f t="shared" si="141"/>
        <v>7.5956054844670218E-2</v>
      </c>
      <c r="X94" s="307">
        <f t="shared" si="141"/>
        <v>6.9294210752759447E-2</v>
      </c>
      <c r="Y94" s="307">
        <f t="shared" si="141"/>
        <v>6.8564268758695202E-2</v>
      </c>
      <c r="Z94" s="307">
        <f t="shared" si="141"/>
        <v>6.7504342308314633E-2</v>
      </c>
      <c r="AA94" s="307">
        <f t="shared" si="141"/>
        <v>6.6351049885077895E-2</v>
      </c>
      <c r="AB94" s="307">
        <f t="shared" si="141"/>
        <v>6.538538212770606E-2</v>
      </c>
      <c r="AC94" s="307">
        <f t="shared" si="141"/>
        <v>6.4407399060931542E-2</v>
      </c>
      <c r="AD94" s="307">
        <f t="shared" si="141"/>
        <v>6.3364603245888912E-2</v>
      </c>
      <c r="AE94" s="307">
        <f t="shared" ref="AE94:AL94" si="142">AE47/AE$49</f>
        <v>6.2402872170999962E-2</v>
      </c>
      <c r="AF94" s="307">
        <f t="shared" si="142"/>
        <v>6.1502323501886995E-2</v>
      </c>
      <c r="AG94" s="307">
        <f t="shared" si="142"/>
        <v>6.0639963856149628E-2</v>
      </c>
      <c r="AH94" s="307">
        <f t="shared" si="142"/>
        <v>5.9766447730233124E-2</v>
      </c>
      <c r="AI94" s="307">
        <f t="shared" si="142"/>
        <v>5.8933987651998657E-2</v>
      </c>
      <c r="AJ94" s="307">
        <f t="shared" si="142"/>
        <v>5.810529692999309E-2</v>
      </c>
      <c r="AK94" s="307">
        <f t="shared" si="142"/>
        <v>5.7276627015163555E-2</v>
      </c>
      <c r="AL94" s="307">
        <f t="shared" si="142"/>
        <v>5.6483386844718882E-2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>
      <c r="L95" s="108"/>
      <c r="M95" s="307"/>
      <c r="N95" s="307"/>
      <c r="O95" s="307"/>
      <c r="P95" s="307"/>
      <c r="Q95" s="307"/>
      <c r="R95" s="307"/>
      <c r="S95" s="307"/>
      <c r="T95" s="307"/>
      <c r="U95" s="307"/>
      <c r="V95" s="307"/>
      <c r="W95" s="307"/>
      <c r="X95" s="307"/>
      <c r="Y95" s="307"/>
      <c r="Z95" s="307"/>
      <c r="AA95" s="307"/>
      <c r="AB95" s="307"/>
      <c r="AC95" s="307"/>
      <c r="AD95" s="307"/>
      <c r="AE95" s="307"/>
      <c r="AF95" s="307"/>
      <c r="AG95" s="307"/>
      <c r="AH95" s="307"/>
      <c r="AI95" s="307"/>
      <c r="AJ95" s="307"/>
      <c r="AK95" s="307"/>
      <c r="AL95" s="307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>
      <c r="L96" s="17" t="str">
        <f>'Occ T3'!A51</f>
        <v>All occupations</v>
      </c>
      <c r="M96" s="308">
        <f t="shared" ref="M96:AD96" si="143">M49/M$49</f>
        <v>1</v>
      </c>
      <c r="N96" s="308">
        <f t="shared" si="143"/>
        <v>1</v>
      </c>
      <c r="O96" s="308">
        <f t="shared" si="143"/>
        <v>1</v>
      </c>
      <c r="P96" s="308">
        <f t="shared" si="143"/>
        <v>1</v>
      </c>
      <c r="Q96" s="308">
        <f t="shared" si="143"/>
        <v>1</v>
      </c>
      <c r="R96" s="308">
        <f t="shared" si="143"/>
        <v>1</v>
      </c>
      <c r="S96" s="308">
        <f t="shared" si="143"/>
        <v>1</v>
      </c>
      <c r="T96" s="308">
        <f t="shared" si="143"/>
        <v>1</v>
      </c>
      <c r="U96" s="308">
        <f t="shared" si="143"/>
        <v>1</v>
      </c>
      <c r="V96" s="308">
        <f t="shared" si="143"/>
        <v>1</v>
      </c>
      <c r="W96" s="308">
        <f t="shared" si="143"/>
        <v>1</v>
      </c>
      <c r="X96" s="308">
        <f t="shared" si="143"/>
        <v>1</v>
      </c>
      <c r="Y96" s="308">
        <f t="shared" si="143"/>
        <v>1</v>
      </c>
      <c r="Z96" s="308">
        <f t="shared" si="143"/>
        <v>1</v>
      </c>
      <c r="AA96" s="308">
        <f t="shared" si="143"/>
        <v>1</v>
      </c>
      <c r="AB96" s="308">
        <f t="shared" si="143"/>
        <v>1</v>
      </c>
      <c r="AC96" s="308">
        <f t="shared" si="143"/>
        <v>1</v>
      </c>
      <c r="AD96" s="308">
        <f t="shared" si="143"/>
        <v>1</v>
      </c>
      <c r="AE96" s="308">
        <f t="shared" ref="AE96:AL96" si="144">AE49/AE$49</f>
        <v>1</v>
      </c>
      <c r="AF96" s="308">
        <f t="shared" si="144"/>
        <v>1</v>
      </c>
      <c r="AG96" s="308">
        <f t="shared" si="144"/>
        <v>1</v>
      </c>
      <c r="AH96" s="308">
        <f t="shared" si="144"/>
        <v>1</v>
      </c>
      <c r="AI96" s="308">
        <f t="shared" si="144"/>
        <v>1</v>
      </c>
      <c r="AJ96" s="308">
        <f t="shared" si="144"/>
        <v>1</v>
      </c>
      <c r="AK96" s="308">
        <f t="shared" si="144"/>
        <v>1</v>
      </c>
      <c r="AL96" s="308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>
      <c r="L97" s="65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>
      <c r="L98" s="65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>
      <c r="L99" s="65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>
      <c r="L100" s="65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>
      <c r="L101" s="65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>
      <c r="L102" s="65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>
      <c r="L103" s="65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>
      <c r="L104" s="65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>
      <c r="L105" s="65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>
      <c r="L106" s="65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>
      <c r="L107" s="65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>
      <c r="L108" s="65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>
      <c r="L109" s="65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>
      <c r="L110" s="65"/>
      <c r="M110" s="11"/>
      <c r="N110" s="11"/>
      <c r="O110" s="11"/>
      <c r="P110" s="11"/>
    </row>
    <row r="111" spans="12:53">
      <c r="L111" s="65"/>
      <c r="M111" s="11"/>
      <c r="N111" s="11"/>
      <c r="O111" s="11"/>
      <c r="P111" s="11"/>
    </row>
    <row r="112" spans="12:53">
      <c r="L112" s="65"/>
      <c r="M112" s="11"/>
      <c r="N112" s="11"/>
      <c r="O112" s="11"/>
      <c r="P112" s="11"/>
    </row>
    <row r="113" spans="1:16">
      <c r="L113" s="65"/>
      <c r="M113" s="11"/>
      <c r="N113" s="11"/>
      <c r="O113" s="11"/>
      <c r="P113" s="11"/>
    </row>
    <row r="114" spans="1:16">
      <c r="L114" s="65"/>
      <c r="M114" s="11"/>
      <c r="N114" s="11"/>
      <c r="O114" s="11"/>
      <c r="P114" s="11"/>
    </row>
    <row r="115" spans="1:16">
      <c r="L115" s="65"/>
      <c r="M115" s="11"/>
      <c r="N115" s="11"/>
      <c r="O115" s="11"/>
      <c r="P115" s="11"/>
    </row>
    <row r="116" spans="1:16" ht="15.75">
      <c r="A116" s="62" t="str">
        <f>CONCATENATE("Occupation Figure 2.2  Employment by Occupation, ",$M$2,"-",$O$2,", ",Info!B5)</f>
        <v>Occupation Figure 2.2  Employment by Occupation, 2010-2035, Black Country</v>
      </c>
      <c r="L116" s="65"/>
      <c r="M116" s="11"/>
      <c r="N116" s="11"/>
      <c r="O116" s="11"/>
      <c r="P116" s="11"/>
    </row>
    <row r="117" spans="1:16">
      <c r="L117" s="65"/>
    </row>
    <row r="143" spans="12:63" s="63" customFormat="1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>
      <c r="A162" s="62" t="str">
        <f>CONCATENATE("Occupation Figure 2.3  Change in Employment in ",$L$5,", ",$M$2,"-",$O$2,", ",Info!B5)</f>
        <v>Occupation Figure 2.3  Change in Employment in Managers, directors and senior officials, 2010-2035, Black Country</v>
      </c>
    </row>
    <row r="178" spans="12:63" s="63" customFormat="1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>
      <c r="A197" s="62" t="str">
        <f>CONCATENATE("Occupation Figure 2.4  Change in Employment in ",$L$9,", ",$M$2,"-",$O$2,", ",Info!B5)</f>
        <v>Occupation Figure 2.4  Change in Employment in Professional occupations, 2010-2035, Black Country</v>
      </c>
    </row>
    <row r="213" spans="12:63" s="63" customFormat="1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>
      <c r="A232" s="62" t="str">
        <f>CONCATENATE("Occupation Figure 2.5  Change in Employment in ",$L$15,", ",$M$2,"-",$O$2,", ",Info!B5)</f>
        <v>Occupation Figure 2.5  Change in Employment in Associate professional occupations, 2010-2035, Black Country</v>
      </c>
    </row>
    <row r="248" spans="12:63" s="63" customFormat="1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>
      <c r="A267" s="62" t="str">
        <f>CONCATENATE("Occupation Figure 2.6  Change in Employment in ",$L$22,", ",$M$2,"-",$O$2,", ",Info!B5)</f>
        <v>Occupation Figure 2.6  Change in Employment in Administrative and secretarial occupations, 2010-2035, Black Country</v>
      </c>
    </row>
    <row r="283" spans="12:63" s="63" customFormat="1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>
      <c r="A302" s="62" t="str">
        <f>CONCATENATE("Occupation Figure 2.7  Change in Employment in ",$L$26,", ",$M$2,"- ",$O$2,", ",Info!B5)</f>
        <v>Occupation Figure 2.7  Change in Employment in Skilled trades occupations, 2010- 2035, Black Country</v>
      </c>
    </row>
    <row r="318" spans="12:63" s="63" customFormat="1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>
      <c r="A337" s="62" t="str">
        <f>CONCATENATE("Occupation Figure 2.8  Change in Employment in ",$L$32,", ",$M$2,"-",$O$2,", ",Info!B5)</f>
        <v>Occupation Figure 2.8  Change in Employment in Caring, leisure and other service occupations, 2010-2035, Black Country</v>
      </c>
    </row>
    <row r="353" spans="12:63" s="63" customFormat="1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>
      <c r="A372" s="62" t="str">
        <f>CONCATENATE("Occupation Figure 2.9  Change in Employment in ",$L$37,", ",$M$2,"-",$O$2,", ",Info!B5)</f>
        <v>Occupation Figure 2.9  Change in Employment in Sales and customer service occupations, 2010-2035, Black Country</v>
      </c>
    </row>
    <row r="388" spans="12:63" s="63" customFormat="1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>
      <c r="A407" s="62" t="str">
        <f>CONCATENATE("Occupation Figure 2.10  Change in Employment in ",$L$41,", ",$M$2,"-",$O$2,", ",Info!B5)</f>
        <v>Occupation Figure 2.10  Change in Employment in Process, plant and machine operatives, 2010-2035, Black Country</v>
      </c>
    </row>
    <row r="442" spans="1:1" ht="15.75">
      <c r="A442" s="62" t="str">
        <f>CONCATENATE("Occupation Figure 2.11  Change in Employment in ",$L$45,", ",$M$2,"-",$O$2,", ",Info!B5)</f>
        <v>Occupation Figure 2.11  Change in Employment in Elementary occupations, 2010-2035, Black Country</v>
      </c>
    </row>
    <row r="477" spans="1:12" ht="15.75">
      <c r="A477" s="62" t="str">
        <f>CONCATENATE("Occupation Figure 2.12  Employment Level by Occupation (SOC 2020), ",'Occ T1'!D6," and ",'Occ T1'!F6," (000s)",", ",Info!B5)</f>
        <v>Occupation Figure 2.12  Employment Level by Occupation (SOC 2020), 2020 and 2035 (000s), Black Country</v>
      </c>
    </row>
    <row r="479" spans="1:12">
      <c r="L479" s="36" t="s">
        <v>169</v>
      </c>
    </row>
    <row r="480" spans="1:12">
      <c r="L480" s="25" t="s">
        <v>170</v>
      </c>
    </row>
    <row r="505" spans="1:12" ht="15.75">
      <c r="A505" s="62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Black Country</v>
      </c>
    </row>
    <row r="507" spans="1:12">
      <c r="L507" s="36" t="s">
        <v>171</v>
      </c>
    </row>
    <row r="508" spans="1:12">
      <c r="L508" s="25" t="s">
        <v>170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>
      <c r="A1" s="62" t="str">
        <f>CONCATENATE("Occupation Figure 3  Changes in Occupational Employment Structure (000s) (SOC 2020), ",$W$1,"-",$X$1,", ",Info!B5)</f>
        <v>Occupation Figure 3  Changes in Occupational Employment Structure (000s) (SOC 2020), 2015-2035, Black Country</v>
      </c>
      <c r="W1" t="str">
        <f>LEFT(X3,4)</f>
        <v>2015</v>
      </c>
      <c r="X1" t="str">
        <f>RIGHT(AC3,4)</f>
        <v>2035</v>
      </c>
    </row>
    <row r="2" spans="1:29">
      <c r="A2" s="335" t="s">
        <v>156</v>
      </c>
      <c r="X2" t="s">
        <v>172</v>
      </c>
    </row>
    <row r="3" spans="1:29">
      <c r="W3" s="1" t="s">
        <v>153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>
      <c r="W4" s="10" t="str">
        <f>name!E4</f>
        <v>Managers, directors and senior officials</v>
      </c>
      <c r="X4" s="11">
        <f>'Occ T1'!C8-'Occ T1'!B8</f>
        <v>3.9524273935769543</v>
      </c>
      <c r="Y4" s="11">
        <f>'Occ T1'!D8-'Occ T1'!C8</f>
        <v>1.4552194827984977</v>
      </c>
      <c r="Z4" s="11">
        <f>'Occ T1'!E8-'Occ T1'!D8</f>
        <v>-2.9635432414324612</v>
      </c>
      <c r="AA4" s="11">
        <f>'Occ T1'!F8-'Occ T1'!E8</f>
        <v>4.3893550355908815</v>
      </c>
      <c r="AB4" s="11">
        <f>'Occ T1'!D8-'Occ T1'!B8</f>
        <v>5.4076468763754519</v>
      </c>
      <c r="AC4" s="11">
        <f>'Occ T1'!F8-'Occ T1'!D8</f>
        <v>1.4258117941584203</v>
      </c>
    </row>
    <row r="5" spans="1:29">
      <c r="W5" s="10" t="str">
        <f>name!E5</f>
        <v>Professional occupations</v>
      </c>
      <c r="X5" s="11">
        <f>'Occ T1'!C9-'Occ T1'!B9</f>
        <v>11.346268904764429</v>
      </c>
      <c r="Y5" s="11">
        <f>'Occ T1'!D9-'Occ T1'!C9</f>
        <v>4.4836566901636417</v>
      </c>
      <c r="Z5" s="11">
        <f>'Occ T1'!E9-'Occ T1'!D9</f>
        <v>6.4185548142397266</v>
      </c>
      <c r="AA5" s="11">
        <f>'Occ T1'!F9-'Occ T1'!E9</f>
        <v>11.77682944462245</v>
      </c>
      <c r="AB5" s="11">
        <f>'Occ T1'!D9-'Occ T1'!B9</f>
        <v>15.829925594928071</v>
      </c>
      <c r="AC5" s="11">
        <f>'Occ T1'!F9-'Occ T1'!D9</f>
        <v>18.195384258862177</v>
      </c>
    </row>
    <row r="6" spans="1:29">
      <c r="W6" s="10" t="str">
        <f>name!E6</f>
        <v>Associate professional occupations</v>
      </c>
      <c r="X6" s="11">
        <f>'Occ T1'!C10-'Occ T1'!B10</f>
        <v>2.5889966680571703</v>
      </c>
      <c r="Y6" s="11">
        <f>'Occ T1'!D10-'Occ T1'!C10</f>
        <v>2.0992199787569845</v>
      </c>
      <c r="Z6" s="11">
        <f>'Occ T1'!E10-'Occ T1'!D10</f>
        <v>4.3434487569152509</v>
      </c>
      <c r="AA6" s="11">
        <f>'Occ T1'!F10-'Occ T1'!E10</f>
        <v>6.3508938848332406</v>
      </c>
      <c r="AB6" s="11">
        <f>'Occ T1'!D10-'Occ T1'!B10</f>
        <v>4.6882166468141548</v>
      </c>
      <c r="AC6" s="11">
        <f>'Occ T1'!F10-'Occ T1'!D10</f>
        <v>10.694342641748491</v>
      </c>
    </row>
    <row r="7" spans="1:29">
      <c r="W7" s="10" t="str">
        <f>name!E7</f>
        <v>Administrative and secretarial occupations</v>
      </c>
      <c r="X7" s="11">
        <f>'Occ T1'!C11-'Occ T1'!B11</f>
        <v>-5.4779378206172993</v>
      </c>
      <c r="Y7" s="11">
        <f>'Occ T1'!D11-'Occ T1'!C11</f>
        <v>1.8183853679680908</v>
      </c>
      <c r="Z7" s="11">
        <f>'Occ T1'!E11-'Occ T1'!D11</f>
        <v>1.0242946475112191</v>
      </c>
      <c r="AA7" s="11">
        <f>'Occ T1'!F11-'Occ T1'!E11</f>
        <v>-3.9754240347085599</v>
      </c>
      <c r="AB7" s="11">
        <f>'Occ T1'!D11-'Occ T1'!B11</f>
        <v>-3.6595524526492085</v>
      </c>
      <c r="AC7" s="11">
        <f>'Occ T1'!F11-'Occ T1'!D11</f>
        <v>-2.9511293871973407</v>
      </c>
    </row>
    <row r="8" spans="1:29">
      <c r="W8" s="10" t="str">
        <f>name!E8</f>
        <v>Skilled trades occupations</v>
      </c>
      <c r="X8" s="11">
        <f>'Occ T1'!C12-'Occ T1'!B12</f>
        <v>0.63716290273828236</v>
      </c>
      <c r="Y8" s="11">
        <f>'Occ T1'!D12-'Occ T1'!C12</f>
        <v>-9.7030435986156789</v>
      </c>
      <c r="Z8" s="11">
        <f>'Occ T1'!E12-'Occ T1'!D12</f>
        <v>-1.1987673019664342</v>
      </c>
      <c r="AA8" s="11">
        <f>'Occ T1'!F12-'Occ T1'!E12</f>
        <v>-4.2711560693329815</v>
      </c>
      <c r="AB8" s="11">
        <f>'Occ T1'!D12-'Occ T1'!B12</f>
        <v>-9.0658806958773965</v>
      </c>
      <c r="AC8" s="11">
        <f>'Occ T1'!F12-'Occ T1'!D12</f>
        <v>-5.4699233712994157</v>
      </c>
    </row>
    <row r="9" spans="1:29">
      <c r="W9" s="10" t="str">
        <f>name!E9</f>
        <v>Caring, leisure and other service occupations</v>
      </c>
      <c r="X9" s="11">
        <f>'Occ T1'!C13-'Occ T1'!B13</f>
        <v>0.97951788275135243</v>
      </c>
      <c r="Y9" s="11">
        <f>'Occ T1'!D13-'Occ T1'!C13</f>
        <v>-2.1197540853035477</v>
      </c>
      <c r="Z9" s="11">
        <f>'Occ T1'!E13-'Occ T1'!D13</f>
        <v>0.95957667129025026</v>
      </c>
      <c r="AA9" s="11">
        <f>'Occ T1'!F13-'Occ T1'!E13</f>
        <v>3.6221582333224873</v>
      </c>
      <c r="AB9" s="11">
        <f>'Occ T1'!D13-'Occ T1'!B13</f>
        <v>-1.1402362025521953</v>
      </c>
      <c r="AC9" s="11">
        <f>'Occ T1'!F13-'Occ T1'!D13</f>
        <v>4.5817349046127376</v>
      </c>
    </row>
    <row r="10" spans="1:29">
      <c r="W10" s="10" t="str">
        <f>name!E10</f>
        <v>Sales and customer service occupations</v>
      </c>
      <c r="X10" s="11">
        <f>'Occ T1'!C14-'Occ T1'!B14</f>
        <v>-3.7282336102032616</v>
      </c>
      <c r="Y10" s="11">
        <f>'Occ T1'!D14-'Occ T1'!C14</f>
        <v>-0.24447129109383781</v>
      </c>
      <c r="Z10" s="11">
        <f>'Occ T1'!E14-'Occ T1'!D14</f>
        <v>3.2682107066428046E-2</v>
      </c>
      <c r="AA10" s="11">
        <f>'Occ T1'!F14-'Occ T1'!E14</f>
        <v>-0.29138524380997666</v>
      </c>
      <c r="AB10" s="11">
        <f>'Occ T1'!D14-'Occ T1'!B14</f>
        <v>-3.9727049012970994</v>
      </c>
      <c r="AC10" s="11">
        <f>'Occ T1'!F14-'Occ T1'!D14</f>
        <v>-0.25870313674354861</v>
      </c>
    </row>
    <row r="11" spans="1:29">
      <c r="W11" s="10" t="str">
        <f>name!E11</f>
        <v>Process, plant and machine operatives</v>
      </c>
      <c r="X11" s="11">
        <f>'Occ T1'!C15-'Occ T1'!B15</f>
        <v>-0.56821521408122067</v>
      </c>
      <c r="Y11" s="11">
        <f>'Occ T1'!D15-'Occ T1'!C15</f>
        <v>-6.214094539697868</v>
      </c>
      <c r="Z11" s="11">
        <f>'Occ T1'!E15-'Occ T1'!D15</f>
        <v>1.3699312698277311</v>
      </c>
      <c r="AA11" s="11">
        <f>'Occ T1'!F15-'Occ T1'!E15</f>
        <v>-1.5285678432163934</v>
      </c>
      <c r="AB11" s="11">
        <f>'Occ T1'!D15-'Occ T1'!B15</f>
        <v>-6.7823097537790886</v>
      </c>
      <c r="AC11" s="11">
        <f>'Occ T1'!F15-'Occ T1'!D15</f>
        <v>-0.15863657338866233</v>
      </c>
    </row>
    <row r="12" spans="1:29">
      <c r="W12" s="10" t="str">
        <f>name!E12</f>
        <v>Elementary occupations</v>
      </c>
      <c r="X12" s="11">
        <f>'Occ T1'!C16-'Occ T1'!B16</f>
        <v>-5.360987106986812</v>
      </c>
      <c r="Y12" s="11">
        <f>'Occ T1'!D16-'Occ T1'!C16</f>
        <v>-5.3121180049762557</v>
      </c>
      <c r="Z12" s="11">
        <f>'Occ T1'!E16-'Occ T1'!D16</f>
        <v>1.9478222765486777</v>
      </c>
      <c r="AA12" s="11">
        <f>'Occ T1'!F16-'Occ T1'!E16</f>
        <v>-2.2567034073016927</v>
      </c>
      <c r="AB12" s="11">
        <f>'Occ T1'!D16-'Occ T1'!B16</f>
        <v>-10.673105111963068</v>
      </c>
      <c r="AC12" s="11">
        <f>'Occ T1'!F16-'Occ T1'!D16</f>
        <v>-0.30888113075301504</v>
      </c>
    </row>
    <row r="14" spans="1:29">
      <c r="W14" s="10" t="str">
        <f>name!E3</f>
        <v>All occupations</v>
      </c>
      <c r="X14" s="11">
        <f>'Occ T1'!C18-'Occ T1'!B18</f>
        <v>4.3689999999995166</v>
      </c>
      <c r="Y14" s="11">
        <f>'Occ T1'!D18-'Occ T1'!C18</f>
        <v>-13.736999999999966</v>
      </c>
      <c r="Z14" s="11">
        <f>'Occ T1'!E18-'Occ T1'!D18</f>
        <v>11.934000000000424</v>
      </c>
      <c r="AA14" s="11">
        <f>'Occ T1'!F18-'Occ T1'!E18</f>
        <v>13.815999999999406</v>
      </c>
      <c r="AB14" s="11">
        <f>'Occ T1'!D18-'Occ T1'!B18</f>
        <v>-9.3680000000004497</v>
      </c>
      <c r="AC14" s="11">
        <f>'Occ T1'!F18-'Occ T1'!D18</f>
        <v>25.749999999999829</v>
      </c>
    </row>
    <row r="17" spans="23:26">
      <c r="Y17" s="65" t="s">
        <v>173</v>
      </c>
      <c r="Z17" s="65" t="s">
        <v>174</v>
      </c>
    </row>
    <row r="18" spans="23:26">
      <c r="W18" s="65" t="s">
        <v>175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>
      <c r="W19" s="65" t="s">
        <v>176</v>
      </c>
      <c r="X19">
        <f>FLOOR(MIN(X4:AA12),IF(MIN(X4:AA12)&gt;-100,10,IF(MIN(X4:AA12)&gt;-1000,100,1000)))</f>
        <v>-10</v>
      </c>
      <c r="Y19">
        <f>Y18*-1</f>
        <v>-20</v>
      </c>
    </row>
    <row r="26" spans="23:26">
      <c r="Z26" s="65"/>
    </row>
    <row r="27" spans="23:26">
      <c r="Z27" s="65"/>
    </row>
    <row r="28" spans="23:26">
      <c r="Z28" s="65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/>
  <cols>
    <col min="13" max="13" width="36" customWidth="1"/>
  </cols>
  <sheetData>
    <row r="1" spans="1:16" ht="15.75">
      <c r="A1" s="62" t="str">
        <f>CONCATENATE("Occupation Figure 4  Occupational Change by Gender (000s) (SOC 2020), ",N1,", ",Info!B5)</f>
        <v>Occupation Figure 4  Occupational Change by Gender (000s) (SOC 2020), 2020-2035, Black Country</v>
      </c>
      <c r="M1" s="65" t="s">
        <v>118</v>
      </c>
      <c r="N1" t="str">
        <f>'Occ T1'!F62</f>
        <v>2020-2035</v>
      </c>
    </row>
    <row r="2" spans="1:16">
      <c r="A2" s="335" t="s">
        <v>156</v>
      </c>
      <c r="M2" s="1" t="s">
        <v>153</v>
      </c>
      <c r="N2" s="65" t="s">
        <v>117</v>
      </c>
      <c r="O2" s="65" t="s">
        <v>158</v>
      </c>
      <c r="P2" s="65" t="s">
        <v>157</v>
      </c>
    </row>
    <row r="3" spans="1:16">
      <c r="M3" s="10" t="str">
        <f>name!E4</f>
        <v>Managers, directors and senior officials</v>
      </c>
      <c r="N3" s="11">
        <f>'Occ T1'!F64</f>
        <v>1.4258117941584203</v>
      </c>
      <c r="O3" s="11">
        <f>'Occ T1'!AB64</f>
        <v>1.7830188812056278</v>
      </c>
      <c r="P3" s="11">
        <f>'Occ T1'!Q64</f>
        <v>-0.35720708704726434</v>
      </c>
    </row>
    <row r="4" spans="1:16">
      <c r="M4" s="10" t="str">
        <f>name!E5</f>
        <v>Professional occupations</v>
      </c>
      <c r="N4" s="11">
        <f>'Occ T1'!F65</f>
        <v>18.195384258862177</v>
      </c>
      <c r="O4" s="11">
        <f>'Occ T1'!AB65</f>
        <v>8.4690861567320681</v>
      </c>
      <c r="P4" s="11">
        <f>'Occ T1'!Q65</f>
        <v>9.7262981021300732</v>
      </c>
    </row>
    <row r="5" spans="1:16">
      <c r="M5" s="10" t="str">
        <f>name!E6</f>
        <v>Associate professional occupations</v>
      </c>
      <c r="N5" s="11">
        <f>'Occ T1'!F66</f>
        <v>10.694342641748491</v>
      </c>
      <c r="O5" s="11">
        <f>'Occ T1'!AB66</f>
        <v>11.079510330737847</v>
      </c>
      <c r="P5" s="11">
        <f>'Occ T1'!Q66</f>
        <v>-0.38516768898934117</v>
      </c>
    </row>
    <row r="6" spans="1:16">
      <c r="M6" s="10" t="str">
        <f>name!E7</f>
        <v>Administrative and secretarial occupations</v>
      </c>
      <c r="N6" s="11">
        <f>'Occ T1'!F67</f>
        <v>-2.9511293871973407</v>
      </c>
      <c r="O6" s="11">
        <f>'Occ T1'!AB67</f>
        <v>-6.3775980186378973</v>
      </c>
      <c r="P6" s="11">
        <f>'Occ T1'!Q67</f>
        <v>3.4264686314405459</v>
      </c>
    </row>
    <row r="7" spans="1:16">
      <c r="M7" s="10" t="str">
        <f>name!E8</f>
        <v>Skilled trades occupations</v>
      </c>
      <c r="N7" s="11">
        <f>'Occ T1'!F68</f>
        <v>-5.4699233712994157</v>
      </c>
      <c r="O7" s="11">
        <f>'Occ T1'!AB68</f>
        <v>0.3979725432080885</v>
      </c>
      <c r="P7" s="11">
        <f>'Occ T1'!Q68</f>
        <v>-5.8678959145074927</v>
      </c>
    </row>
    <row r="8" spans="1:16">
      <c r="M8" s="10" t="str">
        <f>name!E9</f>
        <v>Caring, leisure and other service occupations</v>
      </c>
      <c r="N8" s="11">
        <f>'Occ T1'!F69</f>
        <v>4.5817349046127376</v>
      </c>
      <c r="O8" s="11">
        <f>'Occ T1'!AB69</f>
        <v>3.2612268633044152</v>
      </c>
      <c r="P8" s="11">
        <f>'Occ T1'!Q69</f>
        <v>1.3205080413083401</v>
      </c>
    </row>
    <row r="9" spans="1:16">
      <c r="M9" s="10" t="str">
        <f>name!E10</f>
        <v>Sales and customer service occupations</v>
      </c>
      <c r="N9" s="11">
        <f>'Occ T1'!F70</f>
        <v>-0.25870313674354861</v>
      </c>
      <c r="O9" s="11">
        <f>'Occ T1'!AB70</f>
        <v>-1.3157675291981619</v>
      </c>
      <c r="P9" s="11">
        <f>'Occ T1'!Q70</f>
        <v>1.0570643924546381</v>
      </c>
    </row>
    <row r="10" spans="1:16">
      <c r="M10" s="10" t="str">
        <f>name!E11</f>
        <v>Process, plant and machine operatives</v>
      </c>
      <c r="N10" s="11">
        <f>'Occ T1'!F71</f>
        <v>-0.15863657338866233</v>
      </c>
      <c r="O10" s="11">
        <f>'Occ T1'!AB71</f>
        <v>1.1255063458547223</v>
      </c>
      <c r="P10" s="11">
        <f>'Occ T1'!Q71</f>
        <v>-1.2841429192434219</v>
      </c>
    </row>
    <row r="11" spans="1:16">
      <c r="M11" s="10" t="str">
        <f>name!E12</f>
        <v>Elementary occupations</v>
      </c>
      <c r="N11" s="11">
        <f>'Occ T1'!F72</f>
        <v>-0.30888113075301504</v>
      </c>
      <c r="O11" s="11">
        <f>'Occ T1'!AB72</f>
        <v>-1.018019175199214</v>
      </c>
      <c r="P11" s="11">
        <f>'Occ T1'!Q72</f>
        <v>0.70913804444616702</v>
      </c>
    </row>
    <row r="12" spans="1:16">
      <c r="M12" s="10"/>
      <c r="N12" s="11"/>
      <c r="O12" s="11"/>
      <c r="P12" s="11"/>
    </row>
    <row r="13" spans="1:16">
      <c r="M13" s="10" t="str">
        <f>name!E3</f>
        <v>All occupations</v>
      </c>
      <c r="N13" s="11">
        <f>'Occ T1'!F74</f>
        <v>25.749999999999829</v>
      </c>
      <c r="O13" s="11">
        <f>'Occ T1'!AB74</f>
        <v>17.404936398007521</v>
      </c>
      <c r="P13" s="11">
        <f>'Occ T1'!Q74</f>
        <v>8.3450636019922513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/>
  <cols>
    <col min="12" max="12" width="24.7109375" customWidth="1"/>
    <col min="13" max="13" width="36" customWidth="1"/>
    <col min="14" max="14" width="19.5703125" customWidth="1"/>
  </cols>
  <sheetData>
    <row r="1" spans="1:16" ht="15.75">
      <c r="A1" s="62" t="str">
        <f>CONCATENATE("Occupation Figure 5  Occupational Change by Status (000s) (SOC 2020), ",N1,", ",Info!B5)</f>
        <v>Occupation Figure 5  Occupational Change by Status (000s) (SOC 2020), 2020-2035, Black Country</v>
      </c>
      <c r="M1" s="65" t="s">
        <v>118</v>
      </c>
      <c r="N1" t="str">
        <f>'Ind Occ T2'!G6&amp;"-"&amp;'Ind Occ T2'!L6</f>
        <v>2020-2035</v>
      </c>
    </row>
    <row r="2" spans="1:16">
      <c r="A2" s="335" t="s">
        <v>156</v>
      </c>
      <c r="M2" s="1" t="s">
        <v>177</v>
      </c>
      <c r="N2" s="65" t="s">
        <v>178</v>
      </c>
      <c r="O2" s="65" t="s">
        <v>179</v>
      </c>
      <c r="P2" s="65" t="s">
        <v>180</v>
      </c>
    </row>
    <row r="3" spans="1:16">
      <c r="M3" s="10" t="str">
        <f>name!E4</f>
        <v>Managers, directors and senior officials</v>
      </c>
      <c r="N3" s="11">
        <f>'Occ T5'!I44</f>
        <v>0.60559692774230367</v>
      </c>
      <c r="O3" s="11">
        <f>'Occ T5'!H44</f>
        <v>1.1074753511642967</v>
      </c>
      <c r="P3" s="11">
        <f>'Occ T5'!G44</f>
        <v>-0.28726048474828048</v>
      </c>
    </row>
    <row r="4" spans="1:16">
      <c r="M4" s="10" t="str">
        <f>name!E5</f>
        <v>Professional occupations</v>
      </c>
      <c r="N4" s="11">
        <f>'Occ T5'!I45</f>
        <v>-0.72323028969761083</v>
      </c>
      <c r="O4" s="11">
        <f>'Occ T5'!H45</f>
        <v>4.668839839479908</v>
      </c>
      <c r="P4" s="11">
        <f>'Occ T5'!G45</f>
        <v>14.249774709079901</v>
      </c>
    </row>
    <row r="5" spans="1:16">
      <c r="M5" s="10" t="str">
        <f>name!E6</f>
        <v>Associate professional occupations</v>
      </c>
      <c r="N5" s="11">
        <f>'Occ T5'!I46</f>
        <v>0.29298384140115097</v>
      </c>
      <c r="O5" s="11">
        <f>'Occ T5'!H46</f>
        <v>3.896740366550917</v>
      </c>
      <c r="P5" s="11">
        <f>'Occ T5'!G46</f>
        <v>6.5046184337964519</v>
      </c>
    </row>
    <row r="6" spans="1:16">
      <c r="M6" s="10" t="str">
        <f>name!E7</f>
        <v>Administrative and secretarial occupations</v>
      </c>
      <c r="N6" s="11">
        <f>'Occ T5'!I47</f>
        <v>-0.20415079775819689</v>
      </c>
      <c r="O6" s="11">
        <f>'Occ T5'!H47</f>
        <v>-2.8135822080758714</v>
      </c>
      <c r="P6" s="11">
        <f>'Occ T5'!G47</f>
        <v>6.6603618636719375E-2</v>
      </c>
    </row>
    <row r="7" spans="1:16">
      <c r="M7" s="10" t="str">
        <f>name!E8</f>
        <v>Skilled trades occupations</v>
      </c>
      <c r="N7" s="11">
        <f>'Occ T5'!I48</f>
        <v>0.25996926950360333</v>
      </c>
      <c r="O7" s="11">
        <f>'Occ T5'!H48</f>
        <v>0.74480451899973943</v>
      </c>
      <c r="P7" s="11">
        <f>'Occ T5'!G48</f>
        <v>-6.4746971598027834</v>
      </c>
    </row>
    <row r="8" spans="1:16">
      <c r="M8" s="10" t="str">
        <f>name!E9</f>
        <v>Caring, leisure and other service occupations</v>
      </c>
      <c r="N8" s="11">
        <f>'Occ T5'!I49</f>
        <v>0.95412783797023559</v>
      </c>
      <c r="O8" s="11">
        <f>'Occ T5'!H49</f>
        <v>-9.1719547650075839E-2</v>
      </c>
      <c r="P8" s="11">
        <f>'Occ T5'!G49</f>
        <v>3.7193266142925658</v>
      </c>
    </row>
    <row r="9" spans="1:16">
      <c r="M9" s="10" t="str">
        <f>name!E10</f>
        <v>Sales and customer service occupations</v>
      </c>
      <c r="N9" s="11">
        <f>'Occ T5'!I50</f>
        <v>-0.30715457981355176</v>
      </c>
      <c r="O9" s="11">
        <f>'Occ T5'!H50</f>
        <v>8.9791488116198082E-2</v>
      </c>
      <c r="P9" s="11">
        <f>'Occ T5'!G50</f>
        <v>-4.1340045046158735E-2</v>
      </c>
    </row>
    <row r="10" spans="1:16">
      <c r="M10" s="10" t="str">
        <f>name!E11</f>
        <v>Process, plant and machine operatives</v>
      </c>
      <c r="N10" s="11">
        <f>'Occ T5'!I51</f>
        <v>1.3917716101557138</v>
      </c>
      <c r="O10" s="11">
        <f>'Occ T5'!H51</f>
        <v>1.0012849937463946</v>
      </c>
      <c r="P10" s="11">
        <f>'Occ T5'!G51</f>
        <v>-2.5516931772907938</v>
      </c>
    </row>
    <row r="11" spans="1:16">
      <c r="M11" s="10" t="str">
        <f>name!E12</f>
        <v>Elementary occupations</v>
      </c>
      <c r="N11" s="11">
        <f>'Occ T5'!I52</f>
        <v>1.332911329198665</v>
      </c>
      <c r="O11" s="11">
        <f>'Occ T5'!H52</f>
        <v>-3.1621975121292323</v>
      </c>
      <c r="P11" s="11">
        <f>'Occ T5'!G52</f>
        <v>1.5204050521774874</v>
      </c>
    </row>
    <row r="12" spans="1:16">
      <c r="M12" s="10"/>
      <c r="N12" s="11"/>
      <c r="O12" s="11"/>
      <c r="P12" s="11"/>
    </row>
    <row r="13" spans="1:16">
      <c r="M13" s="10" t="str">
        <f>name!E3</f>
        <v>All occupations</v>
      </c>
      <c r="N13" s="11">
        <f>'Occ T5'!I54</f>
        <v>3.6028251487023084</v>
      </c>
      <c r="O13" s="11">
        <f>'Occ T5'!H54</f>
        <v>5.4414372902022876</v>
      </c>
      <c r="P13" s="11">
        <f>'Occ T5'!G54</f>
        <v>16.705737561095077</v>
      </c>
    </row>
    <row r="16" spans="1:16">
      <c r="M16" s="65" t="s">
        <v>118</v>
      </c>
      <c r="N16" t="str">
        <f>N1</f>
        <v>2020-2035</v>
      </c>
    </row>
    <row r="17" spans="13:16">
      <c r="M17" s="1" t="s">
        <v>158</v>
      </c>
      <c r="N17" s="65" t="s">
        <v>178</v>
      </c>
      <c r="O17" s="65" t="s">
        <v>179</v>
      </c>
      <c r="P17" s="65" t="s">
        <v>180</v>
      </c>
    </row>
    <row r="18" spans="13:16">
      <c r="M18" s="10" t="str">
        <f>M3</f>
        <v>Managers, directors and senior officials</v>
      </c>
      <c r="N18" s="11">
        <f>'Occ T5'!AO44</f>
        <v>0.1893462422243446</v>
      </c>
      <c r="O18" s="11">
        <f>'Occ T5'!AN44</f>
        <v>0.83013942865801349</v>
      </c>
      <c r="P18" s="11">
        <f>'Occ T5'!AM44</f>
        <v>0.7635332103232475</v>
      </c>
    </row>
    <row r="19" spans="13:16">
      <c r="M19" s="10" t="str">
        <f t="shared" ref="M19:M28" si="0">M4</f>
        <v>Professional occupations</v>
      </c>
      <c r="N19" s="11">
        <f>'Occ T5'!AO45</f>
        <v>0.18937346564651447</v>
      </c>
      <c r="O19" s="11">
        <f>'Occ T5'!AN45</f>
        <v>2.9781676593616915</v>
      </c>
      <c r="P19" s="11">
        <f>'Occ T5'!AM45</f>
        <v>5.3015450317239008</v>
      </c>
    </row>
    <row r="20" spans="13:16">
      <c r="M20" s="10" t="str">
        <f t="shared" si="0"/>
        <v>Associate professional occupations</v>
      </c>
      <c r="N20" s="11">
        <f>'Occ T5'!AO46</f>
        <v>4.6744078089476115E-2</v>
      </c>
      <c r="O20" s="11">
        <f>'Occ T5'!AN46</f>
        <v>3.6814584912563237</v>
      </c>
      <c r="P20" s="11">
        <f>'Occ T5'!AM46</f>
        <v>7.3513077613920395</v>
      </c>
    </row>
    <row r="21" spans="13:16">
      <c r="M21" s="10" t="str">
        <f t="shared" si="0"/>
        <v>Administrative and secretarial occupations</v>
      </c>
      <c r="N21" s="11">
        <f>'Occ T5'!AO47</f>
        <v>-0.38398713222560854</v>
      </c>
      <c r="O21" s="11">
        <f>'Occ T5'!AN47</f>
        <v>-3.0674853697983124</v>
      </c>
      <c r="P21" s="11">
        <f>'Occ T5'!AM47</f>
        <v>-2.926125516613947</v>
      </c>
    </row>
    <row r="22" spans="13:16">
      <c r="M22" s="10" t="str">
        <f t="shared" si="0"/>
        <v>Skilled trades occupations</v>
      </c>
      <c r="N22" s="11">
        <f>'Occ T5'!AO48</f>
        <v>0.20331299854023688</v>
      </c>
      <c r="O22" s="11">
        <f>'Occ T5'!AN48</f>
        <v>9.688604538831358E-2</v>
      </c>
      <c r="P22" s="11">
        <f>'Occ T5'!AM48</f>
        <v>9.7773499279538045E-2</v>
      </c>
    </row>
    <row r="23" spans="13:16">
      <c r="M23" s="10" t="str">
        <f t="shared" si="0"/>
        <v>Caring, leisure and other service occupations</v>
      </c>
      <c r="N23" s="11">
        <f>'Occ T5'!AO49</f>
        <v>0.62348820171453267</v>
      </c>
      <c r="O23" s="11">
        <f>'Occ T5'!AN49</f>
        <v>-0.71552140485717075</v>
      </c>
      <c r="P23" s="11">
        <f>'Occ T5'!AM49</f>
        <v>3.353260066447028</v>
      </c>
    </row>
    <row r="24" spans="13:16">
      <c r="M24" s="10" t="str">
        <f t="shared" si="0"/>
        <v>Sales and customer service occupations</v>
      </c>
      <c r="N24" s="11">
        <f>'Occ T5'!AO50</f>
        <v>-0.19678794556677326</v>
      </c>
      <c r="O24" s="11">
        <f>'Occ T5'!AN50</f>
        <v>-0.60932062924115726</v>
      </c>
      <c r="P24" s="11">
        <f>'Occ T5'!AM50</f>
        <v>-0.50965895439022812</v>
      </c>
    </row>
    <row r="25" spans="13:16">
      <c r="M25" s="10" t="str">
        <f t="shared" si="0"/>
        <v>Process, plant and machine operatives</v>
      </c>
      <c r="N25" s="11">
        <f>'Occ T5'!AO51</f>
        <v>8.5068675290709217E-2</v>
      </c>
      <c r="O25" s="11">
        <f>'Occ T5'!AN51</f>
        <v>0.60655508613569475</v>
      </c>
      <c r="P25" s="11">
        <f>'Occ T5'!AM51</f>
        <v>0.43388258442831473</v>
      </c>
    </row>
    <row r="26" spans="13:16">
      <c r="M26" s="10" t="str">
        <f t="shared" si="0"/>
        <v>Elementary occupations</v>
      </c>
      <c r="N26" s="11">
        <f>'Occ T5'!AO52</f>
        <v>0.62964900081526665</v>
      </c>
      <c r="O26" s="11">
        <f>'Occ T5'!AN52</f>
        <v>-2.1220448898079951</v>
      </c>
      <c r="P26" s="11">
        <f>'Occ T5'!AM52</f>
        <v>0.474376713793494</v>
      </c>
    </row>
    <row r="27" spans="13:16">
      <c r="M27" s="10"/>
      <c r="N27" s="11"/>
      <c r="O27" s="11"/>
      <c r="P27" s="11"/>
    </row>
    <row r="28" spans="13:16">
      <c r="M28" s="10" t="str">
        <f t="shared" si="0"/>
        <v>All occupations</v>
      </c>
      <c r="N28" s="11">
        <f>'Occ T5'!AO54</f>
        <v>1.3862075845286981</v>
      </c>
      <c r="O28" s="11">
        <f>'Occ T5'!AN54</f>
        <v>1.6788344170954161</v>
      </c>
      <c r="P28" s="11">
        <f>'Occ T5'!AM54</f>
        <v>14.339894396383357</v>
      </c>
    </row>
    <row r="31" spans="13:16">
      <c r="M31" s="65" t="s">
        <v>118</v>
      </c>
      <c r="N31" t="str">
        <f>N1</f>
        <v>2020-2035</v>
      </c>
    </row>
    <row r="32" spans="13:16">
      <c r="M32" s="1" t="s">
        <v>157</v>
      </c>
      <c r="N32" s="65" t="s">
        <v>178</v>
      </c>
      <c r="O32" s="65" t="s">
        <v>179</v>
      </c>
      <c r="P32" s="65" t="s">
        <v>180</v>
      </c>
    </row>
    <row r="33" spans="1:16">
      <c r="M33" s="10" t="str">
        <f>M3</f>
        <v>Managers, directors and senior officials</v>
      </c>
      <c r="N33" s="11">
        <f>'Occ T5'!Y44</f>
        <v>0.41625068551795241</v>
      </c>
      <c r="O33" s="11">
        <f>'Occ T5'!X44</f>
        <v>0.27733592250628059</v>
      </c>
      <c r="P33" s="11">
        <f>'Occ T5'!W44</f>
        <v>-1.0507936950715226</v>
      </c>
    </row>
    <row r="34" spans="1:16">
      <c r="M34" s="10" t="str">
        <f t="shared" ref="M34:M43" si="1">M4</f>
        <v>Professional occupations</v>
      </c>
      <c r="N34" s="11">
        <f>'Occ T5'!Y45</f>
        <v>-0.91260375534413019</v>
      </c>
      <c r="O34" s="11">
        <f>'Occ T5'!X45</f>
        <v>1.6906721801182165</v>
      </c>
      <c r="P34" s="11">
        <f>'Occ T5'!W45</f>
        <v>8.9482296773560108</v>
      </c>
    </row>
    <row r="35" spans="1:16">
      <c r="M35" s="10" t="str">
        <f t="shared" si="1"/>
        <v>Associate professional occupations</v>
      </c>
      <c r="N35" s="11">
        <f>'Occ T5'!Y46</f>
        <v>0.24623976331167352</v>
      </c>
      <c r="O35" s="11">
        <f>'Occ T5'!X46</f>
        <v>0.21528187529459419</v>
      </c>
      <c r="P35" s="11">
        <f>'Occ T5'!W46</f>
        <v>-0.84668932759557336</v>
      </c>
    </row>
    <row r="36" spans="1:16">
      <c r="M36" s="10" t="str">
        <f t="shared" si="1"/>
        <v>Administrative and secretarial occupations</v>
      </c>
      <c r="N36" s="11">
        <f>'Occ T5'!Y47</f>
        <v>0.17983633446741065</v>
      </c>
      <c r="O36" s="11">
        <f>'Occ T5'!X47</f>
        <v>0.25390316172245875</v>
      </c>
      <c r="P36" s="11">
        <f>'Occ T5'!W47</f>
        <v>2.9927291352506593</v>
      </c>
    </row>
    <row r="37" spans="1:16">
      <c r="M37" s="10" t="str">
        <f t="shared" si="1"/>
        <v>Skilled trades occupations</v>
      </c>
      <c r="N37" s="11">
        <f>'Occ T5'!Y48</f>
        <v>5.6656270963379995E-2</v>
      </c>
      <c r="O37" s="11">
        <f>'Occ T5'!X48</f>
        <v>0.64791847361142718</v>
      </c>
      <c r="P37" s="11">
        <f>'Occ T5'!W48</f>
        <v>-6.5724706590823061</v>
      </c>
    </row>
    <row r="38" spans="1:16">
      <c r="M38" s="10" t="str">
        <f t="shared" si="1"/>
        <v>Caring, leisure and other service occupations</v>
      </c>
      <c r="N38" s="11">
        <f>'Occ T5'!Y49</f>
        <v>0.33063963625570436</v>
      </c>
      <c r="O38" s="11">
        <f>'Occ T5'!X49</f>
        <v>0.62380185720708781</v>
      </c>
      <c r="P38" s="11">
        <f>'Occ T5'!W49</f>
        <v>0.3660665478455476</v>
      </c>
    </row>
    <row r="39" spans="1:16">
      <c r="M39" s="10" t="str">
        <f t="shared" si="1"/>
        <v>Sales and customer service occupations</v>
      </c>
      <c r="N39" s="11">
        <f>'Occ T5'!Y50</f>
        <v>-0.11036663424677862</v>
      </c>
      <c r="O39" s="11">
        <f>'Occ T5'!X50</f>
        <v>0.69911211735735002</v>
      </c>
      <c r="P39" s="11">
        <f>'Occ T5'!W50</f>
        <v>0.46831890934405607</v>
      </c>
    </row>
    <row r="40" spans="1:16" ht="15.75">
      <c r="A40" s="62" t="str">
        <f>CONCATENATE("Occupation Figure 5.1 Females:  Occupational Change by Status (000s) (SOC 2020), ",N1,", ",Info!B5)</f>
        <v>Occupation Figure 5.1 Females:  Occupational Change by Status (000s) (SOC 2020), 2020-2035, Black Country</v>
      </c>
      <c r="M40" s="10" t="str">
        <f t="shared" si="1"/>
        <v>Process, plant and machine operatives</v>
      </c>
      <c r="N40" s="11">
        <f>'Occ T5'!Y51</f>
        <v>1.3067029348650028</v>
      </c>
      <c r="O40" s="11">
        <f>'Occ T5'!X51</f>
        <v>0.39472990761069937</v>
      </c>
      <c r="P40" s="11">
        <f>'Occ T5'!W51</f>
        <v>-2.9855757617191117</v>
      </c>
    </row>
    <row r="41" spans="1:16">
      <c r="M41" s="10" t="str">
        <f t="shared" si="1"/>
        <v>Elementary occupations</v>
      </c>
      <c r="N41" s="11">
        <f>'Occ T5'!Y52</f>
        <v>0.70326232838339653</v>
      </c>
      <c r="O41" s="11">
        <f>'Occ T5'!X52</f>
        <v>-1.0401526223212283</v>
      </c>
      <c r="P41" s="11">
        <f>'Occ T5'!W52</f>
        <v>1.0460283383840085</v>
      </c>
    </row>
    <row r="42" spans="1:16">
      <c r="M42" s="10"/>
      <c r="N42" s="11"/>
      <c r="O42" s="11"/>
      <c r="P42" s="11"/>
    </row>
    <row r="43" spans="1:16">
      <c r="M43" s="10" t="str">
        <f t="shared" si="1"/>
        <v>All occupations</v>
      </c>
      <c r="N43" s="11">
        <f>'Occ T5'!Y54</f>
        <v>2.2166175641736245</v>
      </c>
      <c r="O43" s="11">
        <f>'Occ T5'!X54</f>
        <v>3.7626028731068786</v>
      </c>
      <c r="P43" s="11">
        <f>'Occ T5'!W54</f>
        <v>2.3658431647117766</v>
      </c>
    </row>
    <row r="79" spans="1:1" ht="15.75">
      <c r="A79" s="62" t="str">
        <f>CONCATENATE("Occupation Figure 5.2 Males:  Occupational Change by Status (000s) (SOC 2020), ",N1,", ",Info!B5)</f>
        <v>Occupation Figure 5.2 Males:  Occupational Change by Status (000s) (SOC 2020), 2020-2035, Black Country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/>
  <cols>
    <col min="1" max="1" width="36.7109375" customWidth="1"/>
    <col min="2" max="6" width="11.7109375" customWidth="1"/>
  </cols>
  <sheetData>
    <row r="1" spans="1:7" ht="15.75">
      <c r="A1" s="18" t="str">
        <f>CONCATENATE("Qualification Table 1  Employment by Qualification, ",B$3,"-",F$3,", ",Info!B5,", ",Info!B5)</f>
        <v>Qualification Table 1  Employment by Qualification, 2015-2035, Black Country, Black Country</v>
      </c>
    </row>
    <row r="2" spans="1:7">
      <c r="A2" s="1" t="s">
        <v>181</v>
      </c>
    </row>
    <row r="3" spans="1:7">
      <c r="A3" s="20"/>
      <c r="B3" s="21">
        <f>'Occ T3'!B5</f>
        <v>2015</v>
      </c>
      <c r="C3" s="21">
        <f>'Occ T3'!C5</f>
        <v>2019</v>
      </c>
      <c r="D3" s="21">
        <f>'Occ T3'!D5</f>
        <v>2020</v>
      </c>
      <c r="E3" s="21">
        <f>'Occ T3'!E5</f>
        <v>2025</v>
      </c>
      <c r="F3" s="21">
        <f>'Occ T3'!F5</f>
        <v>2035</v>
      </c>
      <c r="G3" s="10"/>
    </row>
    <row r="4" spans="1:7">
      <c r="A4" s="1" t="s">
        <v>113</v>
      </c>
      <c r="C4" s="10"/>
      <c r="D4" s="10"/>
      <c r="E4" s="10"/>
      <c r="F4" s="10"/>
    </row>
    <row r="5" spans="1:7">
      <c r="A5" t="str">
        <f>name!F4</f>
        <v>RQF8 Doctorate</v>
      </c>
      <c r="B5" s="11">
        <f>HLOOKUP(B$3,'Qual F1'!$M$4:$BW$14,11,FALSE)</f>
        <v>5.307311262104184</v>
      </c>
      <c r="C5" s="11">
        <f>HLOOKUP(C$3,'Qual F1'!$M$4:$BW$14,11,FALSE)</f>
        <v>7.3068406233037084</v>
      </c>
      <c r="D5" s="11">
        <f>HLOOKUP(D$3,'Qual F1'!$M$4:$BW$14,11,FALSE)</f>
        <v>7.0915685334472149</v>
      </c>
      <c r="E5" s="11">
        <f>HLOOKUP(E$3,'Qual F1'!$M$4:$BW$14,11,FALSE)</f>
        <v>9.1694021499465581</v>
      </c>
      <c r="F5" s="11">
        <f>HLOOKUP(F$3,'Qual F1'!$M$4:$BW$14,11,FALSE)</f>
        <v>13.476587127561645</v>
      </c>
      <c r="G5" s="11"/>
    </row>
    <row r="6" spans="1:7">
      <c r="A6" t="str">
        <f>name!F5</f>
        <v>RQF7 Other higher degree</v>
      </c>
      <c r="B6" s="11">
        <f>HLOOKUP(B$3,'Qual F1'!$M$4:$BW$14,10,FALSE)</f>
        <v>34.372407642251233</v>
      </c>
      <c r="C6" s="11">
        <f>HLOOKUP(C$3,'Qual F1'!$M$4:$BW$14,10,FALSE)</f>
        <v>47.972540866402227</v>
      </c>
      <c r="D6" s="11">
        <f>HLOOKUP(D$3,'Qual F1'!$M$4:$BW$14,10,FALSE)</f>
        <v>47.91411092379191</v>
      </c>
      <c r="E6" s="11">
        <f>HLOOKUP(E$3,'Qual F1'!$M$4:$BW$14,10,FALSE)</f>
        <v>60.818658304566533</v>
      </c>
      <c r="F6" s="11">
        <f>HLOOKUP(F$3,'Qual F1'!$M$4:$BW$14,10,FALSE)</f>
        <v>89.274782430541478</v>
      </c>
      <c r="G6" s="11"/>
    </row>
    <row r="7" spans="1:7">
      <c r="A7" t="str">
        <f>name!F6</f>
        <v>RQF6 First degree</v>
      </c>
      <c r="B7" s="11">
        <f>HLOOKUP(B$3,'Qual F1'!$M$4:$BW$14,9,FALSE)</f>
        <v>83.671480205468967</v>
      </c>
      <c r="C7" s="11">
        <f>HLOOKUP(C$3,'Qual F1'!$M$4:$BW$14,9,FALSE)</f>
        <v>81.914992761114377</v>
      </c>
      <c r="D7" s="11">
        <f>HLOOKUP(D$3,'Qual F1'!$M$4:$BW$14,9,FALSE)</f>
        <v>91.033181866654573</v>
      </c>
      <c r="E7" s="11">
        <f>HLOOKUP(E$3,'Qual F1'!$M$4:$BW$14,9,FALSE)</f>
        <v>97.545774606448177</v>
      </c>
      <c r="F7" s="11">
        <f>HLOOKUP(F$3,'Qual F1'!$M$4:$BW$14,9,FALSE)</f>
        <v>112.29678035556751</v>
      </c>
      <c r="G7" s="11"/>
    </row>
    <row r="8" spans="1:7">
      <c r="A8" t="str">
        <f>name!F7</f>
        <v>RQF5 Foundation degree;Nursing;Teaching</v>
      </c>
      <c r="B8" s="11">
        <f>HLOOKUP(B$3,'Qual F1'!$M$4:$BW$14,8,FALSE)</f>
        <v>27.262700234542443</v>
      </c>
      <c r="C8" s="11">
        <f>HLOOKUP(C$3,'Qual F1'!$M$4:$BW$14,8,FALSE)</f>
        <v>24.998245553760093</v>
      </c>
      <c r="D8" s="11">
        <f>HLOOKUP(D$3,'Qual F1'!$M$4:$BW$14,8,FALSE)</f>
        <v>27.828114439543217</v>
      </c>
      <c r="E8" s="11">
        <f>HLOOKUP(E$3,'Qual F1'!$M$4:$BW$14,8,FALSE)</f>
        <v>27.09209478806142</v>
      </c>
      <c r="F8" s="11">
        <f>HLOOKUP(F$3,'Qual F1'!$M$4:$BW$14,8,FALSE)</f>
        <v>29.363125462266989</v>
      </c>
      <c r="G8" s="11"/>
    </row>
    <row r="9" spans="1:7">
      <c r="A9" t="str">
        <f>name!F8</f>
        <v>RQF4 HE below degree level</v>
      </c>
      <c r="B9" s="11">
        <f>HLOOKUP(B$3,'Qual F1'!$M$4:$BW$14,7,FALSE)</f>
        <v>26.614616285853966</v>
      </c>
      <c r="C9" s="11">
        <f>HLOOKUP(C$3,'Qual F1'!$M$4:$BW$14,7,FALSE)</f>
        <v>24.767108663845459</v>
      </c>
      <c r="D9" s="11">
        <f>HLOOKUP(D$3,'Qual F1'!$M$4:$BW$14,7,FALSE)</f>
        <v>26.960304923339123</v>
      </c>
      <c r="E9" s="11">
        <f>HLOOKUP(E$3,'Qual F1'!$M$4:$BW$14,7,FALSE)</f>
        <v>27.933787823735234</v>
      </c>
      <c r="F9" s="11">
        <f>HLOOKUP(F$3,'Qual F1'!$M$4:$BW$14,7,FALSE)</f>
        <v>31.755382202989395</v>
      </c>
      <c r="G9" s="11"/>
    </row>
    <row r="10" spans="1:7">
      <c r="A10" t="str">
        <f>name!F9</f>
        <v>RQF3 A level &amp; equivalent</v>
      </c>
      <c r="B10" s="11">
        <f>HLOOKUP(B$3,'Qual F1'!$M$4:$BW$14,6,FALSE)</f>
        <v>101.26753787756158</v>
      </c>
      <c r="C10" s="11">
        <f>HLOOKUP(C$3,'Qual F1'!$M$4:$BW$14,6,FALSE)</f>
        <v>109.81054068418129</v>
      </c>
      <c r="D10" s="11">
        <f>HLOOKUP(D$3,'Qual F1'!$M$4:$BW$14,6,FALSE)</f>
        <v>104.45390013907588</v>
      </c>
      <c r="E10" s="11">
        <f>HLOOKUP(E$3,'Qual F1'!$M$4:$BW$14,6,FALSE)</f>
        <v>109.2768904531888</v>
      </c>
      <c r="F10" s="11">
        <f>HLOOKUP(F$3,'Qual F1'!$M$4:$BW$14,6,FALSE)</f>
        <v>110.31070181595217</v>
      </c>
      <c r="G10" s="11"/>
    </row>
    <row r="11" spans="1:7">
      <c r="A11" t="str">
        <f>name!F10</f>
        <v>RQF2 GCSE(A-C) &amp; equivalent</v>
      </c>
      <c r="B11" s="11">
        <f>HLOOKUP(B$3,'Qual F1'!$M$4:$BW$14,5,FALSE)</f>
        <v>111.83473985337399</v>
      </c>
      <c r="C11" s="11">
        <f>HLOOKUP(C$3,'Qual F1'!$M$4:$BW$14,5,FALSE)</f>
        <v>114.81041065304436</v>
      </c>
      <c r="D11" s="11">
        <f>HLOOKUP(D$3,'Qual F1'!$M$4:$BW$14,5,FALSE)</f>
        <v>99.097694185079277</v>
      </c>
      <c r="E11" s="11">
        <f>HLOOKUP(E$3,'Qual F1'!$M$4:$BW$14,5,FALSE)</f>
        <v>104.59848858249428</v>
      </c>
      <c r="F11" s="11">
        <f>HLOOKUP(F$3,'Qual F1'!$M$4:$BW$14,5,FALSE)</f>
        <v>91.39399146131467</v>
      </c>
      <c r="G11" s="11"/>
    </row>
    <row r="12" spans="1:7">
      <c r="A12" t="str">
        <f>name!F11</f>
        <v>RQF1 GCSE(below grade C) &amp; equivalent</v>
      </c>
      <c r="B12" s="11">
        <f>HLOOKUP(B$3,'Qual F1'!$M$4:$BW$14,4,FALSE)</f>
        <v>74.233403679264697</v>
      </c>
      <c r="C12" s="11">
        <f>HLOOKUP(C$3,'Qual F1'!$M$4:$BW$14,4,FALSE)</f>
        <v>65.981308811181634</v>
      </c>
      <c r="D12" s="11">
        <f>HLOOKUP(D$3,'Qual F1'!$M$4:$BW$14,4,FALSE)</f>
        <v>60.025143488041671</v>
      </c>
      <c r="E12" s="11">
        <f>HLOOKUP(E$3,'Qual F1'!$M$4:$BW$14,4,FALSE)</f>
        <v>51.781456172775556</v>
      </c>
      <c r="F12" s="11">
        <f>HLOOKUP(F$3,'Qual F1'!$M$4:$BW$14,4,FALSE)</f>
        <v>31.922824506490045</v>
      </c>
      <c r="G12" s="11"/>
    </row>
    <row r="13" spans="1:7">
      <c r="A13" t="str">
        <f>name!F12</f>
        <v>No Qualification</v>
      </c>
      <c r="B13" s="11">
        <f>HLOOKUP(B$3,'Qual F1'!$M$4:$BW$14,3,FALSE)</f>
        <v>40.997802959579182</v>
      </c>
      <c r="C13" s="11">
        <f>HLOOKUP(C$3,'Qual F1'!$M$4:$BW$14,3,FALSE)</f>
        <v>32.369011383166644</v>
      </c>
      <c r="D13" s="11">
        <f>HLOOKUP(D$3,'Qual F1'!$M$4:$BW$14,3,FALSE)</f>
        <v>31.789981501026656</v>
      </c>
      <c r="E13" s="11">
        <f>HLOOKUP(E$3,'Qual F1'!$M$4:$BW$14,3,FALSE)</f>
        <v>19.911447118783787</v>
      </c>
      <c r="F13" s="11">
        <f>HLOOKUP(F$3,'Qual F1'!$M$4:$BW$14,3,FALSE)</f>
        <v>12.149824637316074</v>
      </c>
      <c r="G13" s="11"/>
    </row>
    <row r="14" spans="1:7">
      <c r="B14" s="11"/>
      <c r="C14" s="11"/>
      <c r="D14" s="11"/>
      <c r="E14" s="11"/>
      <c r="F14" s="11"/>
      <c r="G14" s="11"/>
    </row>
    <row r="15" spans="1:7">
      <c r="A15" t="str">
        <f>name!F3</f>
        <v>All qualifications</v>
      </c>
      <c r="B15" s="11">
        <f>SUM(B5:B13)</f>
        <v>505.5620000000003</v>
      </c>
      <c r="C15" s="11">
        <f t="shared" ref="C15:F15" si="0">SUM(C5:C13)</f>
        <v>509.93099999999981</v>
      </c>
      <c r="D15" s="11">
        <f t="shared" si="0"/>
        <v>496.19399999999951</v>
      </c>
      <c r="E15" s="11">
        <f t="shared" si="0"/>
        <v>508.12800000000033</v>
      </c>
      <c r="F15" s="11">
        <f t="shared" si="0"/>
        <v>521.94399999999996</v>
      </c>
      <c r="G15" s="11"/>
    </row>
    <row r="16" spans="1:7">
      <c r="B16" s="11"/>
      <c r="C16" s="11"/>
      <c r="D16" s="11"/>
      <c r="E16" s="11"/>
      <c r="F16" s="11"/>
      <c r="G16" s="11"/>
    </row>
    <row r="17" spans="1:7">
      <c r="B17" s="11"/>
      <c r="C17" s="11"/>
      <c r="D17" s="11"/>
      <c r="E17" s="11"/>
      <c r="F17" s="11"/>
      <c r="G17" s="11"/>
    </row>
    <row r="18" spans="1:7">
      <c r="A18" s="1" t="s">
        <v>122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>
      <c r="A19" t="str">
        <f>$A5</f>
        <v>RQF8 Doctorate</v>
      </c>
      <c r="B19" s="322">
        <f t="shared" ref="B19:F21" si="1">B5/B$15*100</f>
        <v>1.0497844501968465</v>
      </c>
      <c r="C19" s="322">
        <f t="shared" si="1"/>
        <v>1.4329077116911328</v>
      </c>
      <c r="D19" s="322">
        <f t="shared" si="1"/>
        <v>1.4291927216869253</v>
      </c>
      <c r="E19" s="322">
        <f t="shared" si="1"/>
        <v>1.8045457345288101</v>
      </c>
      <c r="F19" s="322">
        <f t="shared" si="1"/>
        <v>2.5819986679723583</v>
      </c>
      <c r="G19" s="11"/>
    </row>
    <row r="20" spans="1:7">
      <c r="A20" t="str">
        <f>$A6</f>
        <v>RQF7 Other higher degree</v>
      </c>
      <c r="B20" s="322">
        <f t="shared" si="1"/>
        <v>6.7988511087168764</v>
      </c>
      <c r="C20" s="322">
        <f t="shared" si="1"/>
        <v>9.4076533622004241</v>
      </c>
      <c r="D20" s="322">
        <f t="shared" si="1"/>
        <v>9.6563261393309787</v>
      </c>
      <c r="E20" s="322">
        <f t="shared" si="1"/>
        <v>11.96916098002206</v>
      </c>
      <c r="F20" s="322">
        <f t="shared" si="1"/>
        <v>17.104283683793948</v>
      </c>
      <c r="G20" s="11"/>
    </row>
    <row r="21" spans="1:7">
      <c r="A21" t="str">
        <f>$A7</f>
        <v>RQF6 First degree</v>
      </c>
      <c r="B21" s="322">
        <f t="shared" si="1"/>
        <v>16.550191708528118</v>
      </c>
      <c r="C21" s="322">
        <f t="shared" si="1"/>
        <v>16.063936642627024</v>
      </c>
      <c r="D21" s="322">
        <f t="shared" si="1"/>
        <v>18.346288320022946</v>
      </c>
      <c r="E21" s="322">
        <f t="shared" si="1"/>
        <v>19.197087073817642</v>
      </c>
      <c r="F21" s="322">
        <f t="shared" si="1"/>
        <v>21.515101305037994</v>
      </c>
      <c r="G21" s="11"/>
    </row>
    <row r="22" spans="1:7">
      <c r="A22" t="str">
        <f t="shared" ref="A22:A27" si="2">$A8</f>
        <v>RQF5 Foundation degree;Nursing;Teaching</v>
      </c>
      <c r="B22" s="322">
        <f t="shared" ref="B22:F22" si="3">B8/B$15*100</f>
        <v>5.3925532841753192</v>
      </c>
      <c r="C22" s="322">
        <f t="shared" si="3"/>
        <v>4.9022800248975065</v>
      </c>
      <c r="D22" s="322">
        <f t="shared" si="3"/>
        <v>5.6083133692755744</v>
      </c>
      <c r="E22" s="322">
        <f t="shared" si="3"/>
        <v>5.331746093122482</v>
      </c>
      <c r="F22" s="322">
        <f t="shared" si="3"/>
        <v>5.6257233462338858</v>
      </c>
      <c r="G22" s="11"/>
    </row>
    <row r="23" spans="1:7">
      <c r="A23" t="str">
        <f t="shared" si="2"/>
        <v>RQF4 HE below degree level</v>
      </c>
      <c r="B23" s="322">
        <f t="shared" ref="B23:F23" si="4">B9/B$15*100</f>
        <v>5.2643624888448795</v>
      </c>
      <c r="C23" s="322">
        <f t="shared" si="4"/>
        <v>4.8569529336018924</v>
      </c>
      <c r="D23" s="322">
        <f t="shared" si="4"/>
        <v>5.433420179070918</v>
      </c>
      <c r="E23" s="322">
        <f t="shared" si="4"/>
        <v>5.4973919610285629</v>
      </c>
      <c r="F23" s="322">
        <f t="shared" si="4"/>
        <v>6.0840592483081322</v>
      </c>
      <c r="G23" s="11"/>
    </row>
    <row r="24" spans="1:7">
      <c r="A24" t="str">
        <f t="shared" si="2"/>
        <v>RQF3 A level &amp; equivalent</v>
      </c>
      <c r="B24" s="322">
        <f t="shared" ref="B24:F24" si="5">B10/B$15*100</f>
        <v>20.03068622197901</v>
      </c>
      <c r="C24" s="322">
        <f t="shared" si="5"/>
        <v>21.534392042096155</v>
      </c>
      <c r="D24" s="322">
        <f t="shared" si="5"/>
        <v>21.051020395062412</v>
      </c>
      <c r="E24" s="322">
        <f t="shared" si="5"/>
        <v>21.505780128862952</v>
      </c>
      <c r="F24" s="322">
        <f t="shared" si="5"/>
        <v>21.134585667418762</v>
      </c>
      <c r="G24" s="11"/>
    </row>
    <row r="25" spans="1:7">
      <c r="A25" t="str">
        <f t="shared" si="2"/>
        <v>RQF2 GCSE(A-C) &amp; equivalent</v>
      </c>
      <c r="B25" s="322">
        <f t="shared" ref="B25:F25" si="6">B11/B$15*100</f>
        <v>22.120875353245285</v>
      </c>
      <c r="C25" s="322">
        <f t="shared" si="6"/>
        <v>22.514891358447397</v>
      </c>
      <c r="D25" s="322">
        <f t="shared" si="6"/>
        <v>19.971562369774599</v>
      </c>
      <c r="E25" s="322">
        <f t="shared" si="6"/>
        <v>20.585066869468761</v>
      </c>
      <c r="F25" s="322">
        <f t="shared" si="6"/>
        <v>17.510305983269216</v>
      </c>
      <c r="G25" s="11"/>
    </row>
    <row r="26" spans="1:7">
      <c r="A26" t="str">
        <f t="shared" si="2"/>
        <v>RQF1 GCSE(below grade C) &amp; equivalent</v>
      </c>
      <c r="B26" s="322">
        <f t="shared" ref="B26:F26" si="7">B12/B$15*100</f>
        <v>14.683343225809031</v>
      </c>
      <c r="C26" s="322">
        <f>C12/C$15*100</f>
        <v>12.939262137658163</v>
      </c>
      <c r="D26" s="322">
        <f t="shared" si="7"/>
        <v>12.097111913493862</v>
      </c>
      <c r="E26" s="322">
        <f t="shared" si="7"/>
        <v>10.190632315632188</v>
      </c>
      <c r="F26" s="322">
        <f t="shared" si="7"/>
        <v>6.1161397595316833</v>
      </c>
      <c r="G26" s="11"/>
    </row>
    <row r="27" spans="1:7">
      <c r="A27" t="str">
        <f t="shared" si="2"/>
        <v>No Qualification</v>
      </c>
      <c r="B27" s="322">
        <f t="shared" ref="B27:F27" si="8">B13/B$15*100</f>
        <v>8.1093521585046258</v>
      </c>
      <c r="C27" s="322">
        <f>C13/C$15*100</f>
        <v>6.3477237867802998</v>
      </c>
      <c r="D27" s="322">
        <f t="shared" si="8"/>
        <v>6.4067645922817871</v>
      </c>
      <c r="E27" s="322">
        <f t="shared" si="8"/>
        <v>3.9185888435165497</v>
      </c>
      <c r="F27" s="322">
        <f t="shared" si="8"/>
        <v>2.3278023384340227</v>
      </c>
      <c r="G27" s="11"/>
    </row>
    <row r="28" spans="1:7">
      <c r="B28" s="322"/>
      <c r="C28" s="322"/>
      <c r="D28" s="322"/>
      <c r="E28" s="322"/>
      <c r="F28" s="322"/>
      <c r="G28" s="11"/>
    </row>
    <row r="29" spans="1:7">
      <c r="A29" t="str">
        <f>$A15</f>
        <v>All qualifications</v>
      </c>
      <c r="B29" s="322">
        <f>B15/B$15*100</f>
        <v>100</v>
      </c>
      <c r="C29" s="322">
        <f>C15/C$15*100</f>
        <v>100</v>
      </c>
      <c r="D29" s="322">
        <f>D15/D$15*100</f>
        <v>100</v>
      </c>
      <c r="E29" s="322">
        <f>E15/E$15*100</f>
        <v>100</v>
      </c>
      <c r="F29" s="322">
        <f>F15/F$15*100</f>
        <v>100</v>
      </c>
      <c r="G29" s="11"/>
    </row>
    <row r="30" spans="1:7">
      <c r="B30" s="322"/>
      <c r="C30" s="322"/>
      <c r="D30" s="322"/>
      <c r="E30" s="322"/>
      <c r="F30" s="322"/>
      <c r="G30" s="11"/>
    </row>
    <row r="32" spans="1:7">
      <c r="A32" s="1" t="s">
        <v>123</v>
      </c>
      <c r="B32" s="19" t="str">
        <f>CONCATENATE(B$3,"-",C$3)</f>
        <v>2015-2019</v>
      </c>
      <c r="C32" s="19" t="str">
        <f>CONCATENATE(C$3,"-",D$3)</f>
        <v>2019-2020</v>
      </c>
      <c r="D32" s="19" t="str">
        <f>CONCATENATE(D$3,"-",E$3)</f>
        <v>2020-2025</v>
      </c>
      <c r="E32" s="19" t="str">
        <f>CONCATENATE(E$3,"-",F$3)</f>
        <v>2025-2035</v>
      </c>
      <c r="F32" s="19" t="str">
        <f>CONCATENATE(D$3,"-",F$3)</f>
        <v>2020-2035</v>
      </c>
    </row>
    <row r="33" spans="1:6">
      <c r="A33" t="str">
        <f>$A19</f>
        <v>RQF8 Doctorate</v>
      </c>
      <c r="B33" s="322">
        <f t="shared" ref="B33:E35" si="9">IF(C$3-B$3 &lt;&gt; 0,(EXP(LN(C5/B5)/(C$3-B$3))-1)*100,0)</f>
        <v>8.321276423262546</v>
      </c>
      <c r="C33" s="322">
        <f t="shared" si="9"/>
        <v>-2.9461719634328198</v>
      </c>
      <c r="D33" s="322">
        <f t="shared" si="9"/>
        <v>5.2736651145490088</v>
      </c>
      <c r="E33" s="322">
        <f t="shared" si="9"/>
        <v>3.9259229997445244</v>
      </c>
      <c r="F33" s="322">
        <f>IF(F$3-D$3 &lt;&gt; 0,(EXP(LN(F5/D5)/(F$3-D$3))-1)*100,0)</f>
        <v>4.3732422518678815</v>
      </c>
    </row>
    <row r="34" spans="1:6">
      <c r="A34" t="str">
        <f>$A20</f>
        <v>RQF7 Other higher degree</v>
      </c>
      <c r="B34" s="322">
        <f t="shared" si="9"/>
        <v>8.6915274444937971</v>
      </c>
      <c r="C34" s="322">
        <f t="shared" si="9"/>
        <v>-0.12179872392633628</v>
      </c>
      <c r="D34" s="322">
        <f t="shared" si="9"/>
        <v>4.8853134020049538</v>
      </c>
      <c r="E34" s="322">
        <f t="shared" si="9"/>
        <v>3.9128356983175072</v>
      </c>
      <c r="F34" s="322">
        <f t="shared" ref="F34:F43" si="10">IF(F$3-D$3 &lt;&gt; 0,(EXP(LN(F6/D6)/(F$3-D$3))-1)*100,0)</f>
        <v>4.235988933338275</v>
      </c>
    </row>
    <row r="35" spans="1:6">
      <c r="A35" t="str">
        <f>$A21</f>
        <v>RQF6 First degree</v>
      </c>
      <c r="B35" s="322">
        <f t="shared" si="9"/>
        <v>-0.52899947469079445</v>
      </c>
      <c r="C35" s="322">
        <f t="shared" si="9"/>
        <v>11.131282318648594</v>
      </c>
      <c r="D35" s="322">
        <f t="shared" si="9"/>
        <v>1.3915466177254698</v>
      </c>
      <c r="E35" s="322">
        <f t="shared" si="9"/>
        <v>1.4181967333491308</v>
      </c>
      <c r="F35" s="322">
        <f t="shared" si="10"/>
        <v>1.4093125832530973</v>
      </c>
    </row>
    <row r="36" spans="1:6">
      <c r="A36" t="str">
        <f t="shared" ref="A36:A41" si="11">$A22</f>
        <v>RQF5 Foundation degree;Nursing;Teaching</v>
      </c>
      <c r="B36" s="322">
        <f>IF(C$3-B$3 &lt;&gt; 0,(EXP(LN(C8/B8)/(C$3-B$3))-1)*100,0)</f>
        <v>-2.1445168961974348</v>
      </c>
      <c r="C36" s="322">
        <f t="shared" ref="C36:E36" si="12">IF(D$3-C$3 &lt;&gt; 0,(EXP(LN(D8/C8)/(D$3-C$3))-1)*100,0)</f>
        <v>11.320269975336217</v>
      </c>
      <c r="D36" s="322">
        <f t="shared" si="12"/>
        <v>-0.53466237248128712</v>
      </c>
      <c r="E36" s="322">
        <f t="shared" si="12"/>
        <v>0.80822535924007788</v>
      </c>
      <c r="F36" s="322">
        <f t="shared" si="10"/>
        <v>0.35859361875316687</v>
      </c>
    </row>
    <row r="37" spans="1:6">
      <c r="A37" t="str">
        <f t="shared" si="11"/>
        <v>RQF4 HE below degree level</v>
      </c>
      <c r="B37" s="322">
        <f t="shared" ref="B37:E37" si="13">IF(C$3-B$3 &lt;&gt; 0,(EXP(LN(C9/B9)/(C$3-B$3))-1)*100,0)</f>
        <v>-1.7825227102072905</v>
      </c>
      <c r="C37" s="322">
        <f t="shared" si="13"/>
        <v>8.8552777365379356</v>
      </c>
      <c r="D37" s="322">
        <f t="shared" si="13"/>
        <v>0.71195026147061746</v>
      </c>
      <c r="E37" s="322">
        <f t="shared" si="13"/>
        <v>1.2905085058766863</v>
      </c>
      <c r="F37" s="322">
        <f t="shared" si="10"/>
        <v>1.0972874048242875</v>
      </c>
    </row>
    <row r="38" spans="1:6">
      <c r="A38" t="str">
        <f t="shared" si="11"/>
        <v>RQF3 A level &amp; equivalent</v>
      </c>
      <c r="B38" s="322">
        <f t="shared" ref="B38:E38" si="14">IF(C$3-B$3 &lt;&gt; 0,(EXP(LN(C10/B10)/(C$3-B$3))-1)*100,0)</f>
        <v>2.0454028977316074</v>
      </c>
      <c r="C38" s="322">
        <f t="shared" si="14"/>
        <v>-4.8780750114975628</v>
      </c>
      <c r="D38" s="322">
        <f t="shared" si="14"/>
        <v>0.90686963956738698</v>
      </c>
      <c r="E38" s="322">
        <f t="shared" si="14"/>
        <v>9.4204400657149634E-2</v>
      </c>
      <c r="F38" s="322">
        <f t="shared" si="10"/>
        <v>0.36436298789439547</v>
      </c>
    </row>
    <row r="39" spans="1:6">
      <c r="A39" t="str">
        <f t="shared" si="11"/>
        <v>RQF2 GCSE(A-C) &amp; equivalent</v>
      </c>
      <c r="B39" s="322">
        <f t="shared" ref="B39:E39" si="15">IF(C$3-B$3 &lt;&gt; 0,(EXP(LN(C11/B11)/(C$3-B$3))-1)*100,0)</f>
        <v>0.65865767940158637</v>
      </c>
      <c r="C39" s="322">
        <f t="shared" si="15"/>
        <v>-13.685794152804409</v>
      </c>
      <c r="D39" s="322">
        <f t="shared" si="15"/>
        <v>1.0863166028784788</v>
      </c>
      <c r="E39" s="322">
        <f t="shared" si="15"/>
        <v>-1.3404288034414291</v>
      </c>
      <c r="F39" s="322">
        <f t="shared" si="10"/>
        <v>-0.53805683512008207</v>
      </c>
    </row>
    <row r="40" spans="1:6">
      <c r="A40" t="str">
        <f t="shared" si="11"/>
        <v>RQF1 GCSE(below grade C) &amp; equivalent</v>
      </c>
      <c r="B40" s="322">
        <f t="shared" ref="B40:E40" si="16">IF(C$3-B$3 &lt;&gt; 0,(EXP(LN(C12/B12)/(C$3-B$3))-1)*100,0)</f>
        <v>-2.9030947310331068</v>
      </c>
      <c r="C40" s="322">
        <f t="shared" si="16"/>
        <v>-9.0270493727014234</v>
      </c>
      <c r="D40" s="322">
        <f t="shared" si="16"/>
        <v>-2.9114063057662953</v>
      </c>
      <c r="E40" s="322">
        <f t="shared" si="16"/>
        <v>-4.7219840053288165</v>
      </c>
      <c r="F40" s="322">
        <f t="shared" si="10"/>
        <v>-4.122241204184407</v>
      </c>
    </row>
    <row r="41" spans="1:6">
      <c r="A41" t="str">
        <f t="shared" si="11"/>
        <v>No Qualification</v>
      </c>
      <c r="B41" s="322">
        <f t="shared" ref="B41:E41" si="17">IF(C$3-B$3 &lt;&gt; 0,(EXP(LN(C13/B13)/(C$3-B$3))-1)*100,0)</f>
        <v>-5.7367926221306824</v>
      </c>
      <c r="C41" s="322">
        <f t="shared" si="17"/>
        <v>-1.7888401820054023</v>
      </c>
      <c r="D41" s="322">
        <f t="shared" si="17"/>
        <v>-8.9326896675863026</v>
      </c>
      <c r="E41" s="322">
        <f t="shared" si="17"/>
        <v>-4.819776887887528</v>
      </c>
      <c r="F41" s="322">
        <f t="shared" si="10"/>
        <v>-6.2109833796336833</v>
      </c>
    </row>
    <row r="42" spans="1:6">
      <c r="B42" s="322"/>
      <c r="C42" s="322"/>
      <c r="D42" s="322"/>
      <c r="E42" s="322"/>
      <c r="F42" s="322"/>
    </row>
    <row r="43" spans="1:6">
      <c r="A43" t="str">
        <f>$A29</f>
        <v>All qualifications</v>
      </c>
      <c r="B43" s="322">
        <f>IF(C$3-B$3 &lt;&gt; 0,(EXP(LN(C15/B15)/(C$3-B$3))-1)*100,0)</f>
        <v>0.21535006256827582</v>
      </c>
      <c r="C43" s="322">
        <f t="shared" ref="C43" si="18">IF(D$3-C$3 &lt;&gt; 0,(EXP(LN(D15/C15)/(D$3-C$3))-1)*100,0)</f>
        <v>-2.6938938797602674</v>
      </c>
      <c r="D43" s="322">
        <f>IF(E$3-D$3 &lt;&gt; 0,(EXP(LN(E15/D15)/(E$3-D$3))-1)*100,0)</f>
        <v>0.47645957720003906</v>
      </c>
      <c r="E43" s="322">
        <f>IF(F$3-E$3 &lt;&gt; 0,(EXP(LN(F15/E15)/(F$3-E$3))-1)*100,0)</f>
        <v>0.26862934467042354</v>
      </c>
      <c r="F43" s="322">
        <f t="shared" si="10"/>
        <v>0.33785827979151417</v>
      </c>
    </row>
    <row r="44" spans="1:6">
      <c r="B44" s="322"/>
      <c r="C44" s="322"/>
      <c r="D44" s="322"/>
      <c r="E44" s="322"/>
      <c r="F44" s="322"/>
    </row>
    <row r="46" spans="1:6">
      <c r="A46" s="1" t="s">
        <v>124</v>
      </c>
      <c r="B46" s="19" t="str">
        <f>CONCATENATE(B$3,"-",C$3)</f>
        <v>2015-2019</v>
      </c>
      <c r="C46" s="19" t="str">
        <f>CONCATENATE(C$3,"-",D$3)</f>
        <v>2019-2020</v>
      </c>
      <c r="D46" s="19" t="str">
        <f>CONCATENATE(D$3,"-",E$3)</f>
        <v>2020-2025</v>
      </c>
      <c r="E46" s="19" t="str">
        <f>CONCATENATE(E$3,"-",F$3)</f>
        <v>2025-2035</v>
      </c>
      <c r="F46" s="19" t="str">
        <f>CONCATENATE(D$3,"-",F$3)</f>
        <v>2020-2035</v>
      </c>
    </row>
    <row r="47" spans="1:6">
      <c r="A47" t="str">
        <f>$A33</f>
        <v>RQF8 Doctorate</v>
      </c>
      <c r="B47" s="225">
        <f>C5-B5</f>
        <v>1.9995293611995244</v>
      </c>
      <c r="C47" s="225">
        <f>D5-C5</f>
        <v>-0.21527208985649349</v>
      </c>
      <c r="D47" s="225">
        <f>E5-D5</f>
        <v>2.0778336164993432</v>
      </c>
      <c r="E47" s="225">
        <f>F5-E5</f>
        <v>4.307184977615087</v>
      </c>
      <c r="F47" s="225">
        <f>F5-D5</f>
        <v>6.3850185941144302</v>
      </c>
    </row>
    <row r="48" spans="1:6">
      <c r="A48" t="str">
        <f t="shared" ref="A48:A55" si="19">$A34</f>
        <v>RQF7 Other higher degree</v>
      </c>
      <c r="B48" s="225">
        <f t="shared" ref="B48:E48" si="20">C6-B6</f>
        <v>13.600133224150994</v>
      </c>
      <c r="C48" s="225">
        <f t="shared" si="20"/>
        <v>-5.8429942610317198E-2</v>
      </c>
      <c r="D48" s="225">
        <f t="shared" si="20"/>
        <v>12.904547380774623</v>
      </c>
      <c r="E48" s="225">
        <f t="shared" si="20"/>
        <v>28.456124125974945</v>
      </c>
      <c r="F48" s="225">
        <f t="shared" ref="F48:F57" si="21">F6-D6</f>
        <v>41.360671506749568</v>
      </c>
    </row>
    <row r="49" spans="1:6">
      <c r="A49" t="str">
        <f t="shared" si="19"/>
        <v>RQF6 First degree</v>
      </c>
      <c r="B49" s="225">
        <f t="shared" ref="B49:E49" si="22">C7-B7</f>
        <v>-1.7564874443545904</v>
      </c>
      <c r="C49" s="225">
        <f t="shared" si="22"/>
        <v>9.1181891055401962</v>
      </c>
      <c r="D49" s="225">
        <f t="shared" si="22"/>
        <v>6.5125927397936039</v>
      </c>
      <c r="E49" s="225">
        <f t="shared" si="22"/>
        <v>14.751005749119329</v>
      </c>
      <c r="F49" s="225">
        <f t="shared" si="21"/>
        <v>21.263598488912933</v>
      </c>
    </row>
    <row r="50" spans="1:6">
      <c r="A50" t="str">
        <f t="shared" si="19"/>
        <v>RQF5 Foundation degree;Nursing;Teaching</v>
      </c>
      <c r="B50" s="225">
        <f t="shared" ref="B50:E50" si="23">C8-B8</f>
        <v>-2.2644546807823502</v>
      </c>
      <c r="C50" s="225">
        <f t="shared" si="23"/>
        <v>2.8298688857831245</v>
      </c>
      <c r="D50" s="225">
        <f t="shared" si="23"/>
        <v>-0.73601965148179715</v>
      </c>
      <c r="E50" s="225">
        <f t="shared" si="23"/>
        <v>2.2710306742055693</v>
      </c>
      <c r="F50" s="225">
        <f t="shared" si="21"/>
        <v>1.5350110227237721</v>
      </c>
    </row>
    <row r="51" spans="1:6">
      <c r="A51" t="str">
        <f t="shared" si="19"/>
        <v>RQF4 HE below degree level</v>
      </c>
      <c r="B51" s="225">
        <f t="shared" ref="B51:E51" si="24">C9-B9</f>
        <v>-1.8475076220085072</v>
      </c>
      <c r="C51" s="225">
        <f t="shared" si="24"/>
        <v>2.1931962594936643</v>
      </c>
      <c r="D51" s="225">
        <f t="shared" si="24"/>
        <v>0.9734829003961103</v>
      </c>
      <c r="E51" s="225">
        <f t="shared" si="24"/>
        <v>3.8215943792541616</v>
      </c>
      <c r="F51" s="225">
        <f t="shared" si="21"/>
        <v>4.7950772796502719</v>
      </c>
    </row>
    <row r="52" spans="1:6">
      <c r="A52" t="str">
        <f t="shared" si="19"/>
        <v>RQF3 A level &amp; equivalent</v>
      </c>
      <c r="B52" s="225">
        <f t="shared" ref="B52:E52" si="25">C10-B10</f>
        <v>8.543002806619711</v>
      </c>
      <c r="C52" s="225">
        <f t="shared" si="25"/>
        <v>-5.3566405451054067</v>
      </c>
      <c r="D52" s="225">
        <f t="shared" si="25"/>
        <v>4.8229903141129142</v>
      </c>
      <c r="E52" s="225">
        <f t="shared" si="25"/>
        <v>1.0338113627633732</v>
      </c>
      <c r="F52" s="225">
        <f t="shared" si="21"/>
        <v>5.8568016768762874</v>
      </c>
    </row>
    <row r="53" spans="1:6">
      <c r="A53" t="str">
        <f t="shared" si="19"/>
        <v>RQF2 GCSE(A-C) &amp; equivalent</v>
      </c>
      <c r="B53" s="225">
        <f t="shared" ref="B53:E53" si="26">C11-B11</f>
        <v>2.9756707996703682</v>
      </c>
      <c r="C53" s="225">
        <f>D11-C11</f>
        <v>-15.71271646796508</v>
      </c>
      <c r="D53" s="225">
        <f t="shared" si="26"/>
        <v>5.5007943974150066</v>
      </c>
      <c r="E53" s="225">
        <f t="shared" si="26"/>
        <v>-13.204497121179614</v>
      </c>
      <c r="F53" s="225">
        <f t="shared" si="21"/>
        <v>-7.7037027237646072</v>
      </c>
    </row>
    <row r="54" spans="1:6">
      <c r="A54" t="str">
        <f t="shared" si="19"/>
        <v>RQF1 GCSE(below grade C) &amp; equivalent</v>
      </c>
      <c r="B54" s="225">
        <f t="shared" ref="B54:E54" si="27">C12-B12</f>
        <v>-8.2520948680830628</v>
      </c>
      <c r="C54" s="225">
        <f t="shared" si="27"/>
        <v>-5.9561653231399632</v>
      </c>
      <c r="D54" s="225">
        <f t="shared" si="27"/>
        <v>-8.243687315266115</v>
      </c>
      <c r="E54" s="225">
        <f t="shared" si="27"/>
        <v>-19.858631666285511</v>
      </c>
      <c r="F54" s="225">
        <f t="shared" si="21"/>
        <v>-28.102318981551626</v>
      </c>
    </row>
    <row r="55" spans="1:6">
      <c r="A55" t="str">
        <f t="shared" si="19"/>
        <v>No Qualification</v>
      </c>
      <c r="B55" s="225">
        <f t="shared" ref="B55:E55" si="28">C13-B13</f>
        <v>-8.6287915764125387</v>
      </c>
      <c r="C55" s="225">
        <f t="shared" si="28"/>
        <v>-0.57902988213998796</v>
      </c>
      <c r="D55" s="225">
        <f t="shared" si="28"/>
        <v>-11.878534382242869</v>
      </c>
      <c r="E55" s="225">
        <f t="shared" si="28"/>
        <v>-7.7616224814677128</v>
      </c>
      <c r="F55" s="225">
        <f t="shared" si="21"/>
        <v>-19.64015686371058</v>
      </c>
    </row>
    <row r="56" spans="1:6">
      <c r="B56" s="259"/>
      <c r="C56" s="225"/>
      <c r="D56" s="259"/>
      <c r="E56" s="259"/>
      <c r="F56" s="225"/>
    </row>
    <row r="57" spans="1:6">
      <c r="A57" s="22" t="str">
        <f>$A43</f>
        <v>All qualifications</v>
      </c>
      <c r="B57" s="362">
        <f>C15-B15</f>
        <v>4.3689999999995166</v>
      </c>
      <c r="C57" s="362">
        <f t="shared" ref="C57" si="29">D15-C15</f>
        <v>-13.737000000000307</v>
      </c>
      <c r="D57" s="362">
        <f>E15-D15</f>
        <v>11.934000000000822</v>
      </c>
      <c r="E57" s="362">
        <f>F15-E15</f>
        <v>13.815999999999633</v>
      </c>
      <c r="F57" s="362">
        <f t="shared" si="21"/>
        <v>25.750000000000455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/>
  <cols>
    <col min="1" max="1" width="17" style="63" customWidth="1"/>
    <col min="2" max="8" width="9.140625" style="63"/>
    <col min="9" max="9" width="31.85546875" style="63" customWidth="1"/>
    <col min="10" max="10" width="11.28515625" style="63" customWidth="1"/>
    <col min="11" max="11" width="6.140625" style="63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>
      <c r="A1" s="62" t="str">
        <f>CONCATENATE("Qualification Figure 1  Employment by Qualification, ",$M$2,"-",$O$2,", ",Info!B5)</f>
        <v>Qualification Figure 1  Employment by Qualification, 2010-2035, Black Country</v>
      </c>
      <c r="H1"/>
      <c r="L1" s="36"/>
    </row>
    <row r="2" spans="1:68">
      <c r="A2" s="1" t="s">
        <v>181</v>
      </c>
      <c r="L2" s="16" t="s">
        <v>146</v>
      </c>
      <c r="M2" s="38">
        <f>M4</f>
        <v>2010</v>
      </c>
      <c r="N2" s="37" t="s">
        <v>147</v>
      </c>
      <c r="O2" s="38">
        <f>MAX(M4:BM4)</f>
        <v>2035</v>
      </c>
    </row>
    <row r="3" spans="1:68">
      <c r="L3" s="16"/>
      <c r="M3" s="16"/>
      <c r="N3" s="37"/>
      <c r="O3" s="16"/>
    </row>
    <row r="4" spans="1:68">
      <c r="L4" s="65"/>
      <c r="M4" s="38">
        <v>2010</v>
      </c>
      <c r="N4" s="38">
        <v>2011</v>
      </c>
      <c r="O4" s="38">
        <v>2012</v>
      </c>
      <c r="P4" s="38">
        <v>2013</v>
      </c>
      <c r="Q4" s="38">
        <v>2014</v>
      </c>
      <c r="R4" s="38">
        <v>2015</v>
      </c>
      <c r="S4" s="38">
        <v>2016</v>
      </c>
      <c r="T4" s="38">
        <v>2017</v>
      </c>
      <c r="U4" s="38">
        <v>2018</v>
      </c>
      <c r="V4" s="38">
        <v>2019</v>
      </c>
      <c r="W4" s="38">
        <v>2020</v>
      </c>
      <c r="X4" s="38">
        <v>2021</v>
      </c>
      <c r="Y4" s="38">
        <v>2022</v>
      </c>
      <c r="Z4" s="38">
        <v>2023</v>
      </c>
      <c r="AA4" s="38">
        <v>2024</v>
      </c>
      <c r="AB4" s="38">
        <v>2025</v>
      </c>
      <c r="AC4" s="38">
        <v>2026</v>
      </c>
      <c r="AD4" s="38">
        <v>2027</v>
      </c>
      <c r="AE4" s="38">
        <v>2028</v>
      </c>
      <c r="AF4" s="38">
        <v>2029</v>
      </c>
      <c r="AG4" s="38">
        <v>2030</v>
      </c>
      <c r="AH4" s="38">
        <v>2031</v>
      </c>
      <c r="AI4" s="38">
        <v>2032</v>
      </c>
      <c r="AJ4" s="38">
        <v>2033</v>
      </c>
      <c r="AK4" s="38">
        <v>2034</v>
      </c>
      <c r="AL4" s="3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>
      <c r="L6" s="108" t="str">
        <f>name!F12</f>
        <v>No Qualification</v>
      </c>
      <c r="M6" s="11">
        <v>44.984409789543079</v>
      </c>
      <c r="N6" s="11">
        <v>43.06408542998733</v>
      </c>
      <c r="O6" s="11">
        <v>43.932229055451046</v>
      </c>
      <c r="P6" s="11">
        <v>45.539860181778636</v>
      </c>
      <c r="Q6" s="11">
        <v>37.885028683570489</v>
      </c>
      <c r="R6" s="11">
        <v>40.997802959579182</v>
      </c>
      <c r="S6" s="11">
        <v>36.649719347697754</v>
      </c>
      <c r="T6" s="11">
        <v>38.499075334532776</v>
      </c>
      <c r="U6" s="11">
        <v>30.351027927750962</v>
      </c>
      <c r="V6" s="11">
        <v>32.369011383166644</v>
      </c>
      <c r="W6" s="11">
        <v>31.789981501026656</v>
      </c>
      <c r="X6" s="11">
        <v>23.3748994771884</v>
      </c>
      <c r="Y6" s="11">
        <v>24.579133768035025</v>
      </c>
      <c r="Z6" s="11">
        <v>22.759429510541612</v>
      </c>
      <c r="AA6" s="11">
        <v>21.04015848124072</v>
      </c>
      <c r="AB6" s="11">
        <v>19.911447118783787</v>
      </c>
      <c r="AC6" s="11">
        <v>18.904403729353358</v>
      </c>
      <c r="AD6" s="11">
        <v>17.925671587661185</v>
      </c>
      <c r="AE6" s="11">
        <v>17.008785443995592</v>
      </c>
      <c r="AF6" s="11">
        <v>16.131834819688372</v>
      </c>
      <c r="AG6" s="11">
        <v>15.301721360851804</v>
      </c>
      <c r="AH6" s="11">
        <v>14.507839736154725</v>
      </c>
      <c r="AI6" s="11">
        <v>13.755274250414407</v>
      </c>
      <c r="AJ6" s="11">
        <v>13.043103268358076</v>
      </c>
      <c r="AK6" s="11">
        <v>12.398677330283029</v>
      </c>
      <c r="AL6" s="11">
        <v>12.149824637316074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>
      <c r="L7" s="108" t="str">
        <f>name!F11</f>
        <v>RQF1 GCSE(below grade C) &amp; equivalent</v>
      </c>
      <c r="M7" s="11">
        <v>86.990458326041733</v>
      </c>
      <c r="N7" s="11">
        <v>85.888682008269157</v>
      </c>
      <c r="O7" s="11">
        <v>77.798094130437846</v>
      </c>
      <c r="P7" s="11">
        <v>72.887386517228407</v>
      </c>
      <c r="Q7" s="11">
        <v>82.717805083880179</v>
      </c>
      <c r="R7" s="11">
        <v>74.233403679264697</v>
      </c>
      <c r="S7" s="11">
        <v>69.973404361741331</v>
      </c>
      <c r="T7" s="11">
        <v>72.159848074685414</v>
      </c>
      <c r="U7" s="11">
        <v>68.758354501827569</v>
      </c>
      <c r="V7" s="11">
        <v>65.981308811181634</v>
      </c>
      <c r="W7" s="11">
        <v>60.025143488041671</v>
      </c>
      <c r="X7" s="11">
        <v>60.6107262339941</v>
      </c>
      <c r="Y7" s="11">
        <v>57.796577585068981</v>
      </c>
      <c r="Z7" s="11">
        <v>55.761668155946168</v>
      </c>
      <c r="AA7" s="11">
        <v>53.831710225860832</v>
      </c>
      <c r="AB7" s="11">
        <v>51.781456172775556</v>
      </c>
      <c r="AC7" s="11">
        <v>49.700759342251693</v>
      </c>
      <c r="AD7" s="11">
        <v>47.622989473986571</v>
      </c>
      <c r="AE7" s="11">
        <v>45.56926892551558</v>
      </c>
      <c r="AF7" s="11">
        <v>43.543377059098979</v>
      </c>
      <c r="AG7" s="11">
        <v>41.56980706048882</v>
      </c>
      <c r="AH7" s="11">
        <v>39.610055587346658</v>
      </c>
      <c r="AI7" s="11">
        <v>37.666681266795869</v>
      </c>
      <c r="AJ7" s="11">
        <v>35.742314375797434</v>
      </c>
      <c r="AK7" s="11">
        <v>33.838680132126335</v>
      </c>
      <c r="AL7" s="11">
        <v>31.922824506490045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>
      <c r="L8" s="108" t="str">
        <f>name!F10</f>
        <v>RQF2 GCSE(A-C) &amp; equivalent</v>
      </c>
      <c r="M8" s="11">
        <v>111.46901122811188</v>
      </c>
      <c r="N8" s="11">
        <v>112.01879666054357</v>
      </c>
      <c r="O8" s="11">
        <v>111.73857356047557</v>
      </c>
      <c r="P8" s="11">
        <v>107.69668372891317</v>
      </c>
      <c r="Q8" s="11">
        <v>103.10819296262156</v>
      </c>
      <c r="R8" s="11">
        <v>111.83473985337399</v>
      </c>
      <c r="S8" s="11">
        <v>111.52833855734382</v>
      </c>
      <c r="T8" s="11">
        <v>117.59753353378089</v>
      </c>
      <c r="U8" s="11">
        <v>121.86814274179331</v>
      </c>
      <c r="V8" s="11">
        <v>114.81041065304436</v>
      </c>
      <c r="W8" s="11">
        <v>99.097694185079277</v>
      </c>
      <c r="X8" s="11">
        <v>105.74531274274106</v>
      </c>
      <c r="Y8" s="11">
        <v>106.68460193764754</v>
      </c>
      <c r="Z8" s="11">
        <v>106.03554426609911</v>
      </c>
      <c r="AA8" s="11">
        <v>105.49839213267013</v>
      </c>
      <c r="AB8" s="11">
        <v>104.59848858249428</v>
      </c>
      <c r="AC8" s="11">
        <v>103.52206798618141</v>
      </c>
      <c r="AD8" s="11">
        <v>102.34528626370759</v>
      </c>
      <c r="AE8" s="11">
        <v>101.11247740067854</v>
      </c>
      <c r="AF8" s="11">
        <v>99.835659596577258</v>
      </c>
      <c r="AG8" s="11">
        <v>98.550827967457892</v>
      </c>
      <c r="AH8" s="11">
        <v>97.218922464032005</v>
      </c>
      <c r="AI8" s="11">
        <v>95.848070500235153</v>
      </c>
      <c r="AJ8" s="11">
        <v>94.437994830924652</v>
      </c>
      <c r="AK8" s="11">
        <v>92.975737756564939</v>
      </c>
      <c r="AL8" s="11">
        <v>91.39399146131467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>
      <c r="L9" s="108" t="str">
        <f>name!F9</f>
        <v>RQF3 A level &amp; equivalent</v>
      </c>
      <c r="M9" s="11">
        <v>97.290765424142919</v>
      </c>
      <c r="N9" s="11">
        <v>95.561198378836679</v>
      </c>
      <c r="O9" s="11">
        <v>101.5691401090502</v>
      </c>
      <c r="P9" s="11">
        <v>102.12314801460045</v>
      </c>
      <c r="Q9" s="11">
        <v>106.39040679180378</v>
      </c>
      <c r="R9" s="11">
        <v>101.26753787756158</v>
      </c>
      <c r="S9" s="11">
        <v>100.47900960894461</v>
      </c>
      <c r="T9" s="11">
        <v>108.56185953713322</v>
      </c>
      <c r="U9" s="11">
        <v>113.49420506920785</v>
      </c>
      <c r="V9" s="11">
        <v>109.81054068418129</v>
      </c>
      <c r="W9" s="11">
        <v>104.45390013907588</v>
      </c>
      <c r="X9" s="11">
        <v>106.8092015924145</v>
      </c>
      <c r="Y9" s="11">
        <v>107.61332334073882</v>
      </c>
      <c r="Z9" s="11">
        <v>108.16478384900864</v>
      </c>
      <c r="AA9" s="11">
        <v>108.88243558492032</v>
      </c>
      <c r="AB9" s="11">
        <v>109.2768904531888</v>
      </c>
      <c r="AC9" s="11">
        <v>109.51896638896282</v>
      </c>
      <c r="AD9" s="11">
        <v>109.68781332035327</v>
      </c>
      <c r="AE9" s="11">
        <v>109.825805886548</v>
      </c>
      <c r="AF9" s="11">
        <v>109.92641388889751</v>
      </c>
      <c r="AG9" s="11">
        <v>110.05192031561253</v>
      </c>
      <c r="AH9" s="11">
        <v>110.15520647639065</v>
      </c>
      <c r="AI9" s="11">
        <v>110.24329635419345</v>
      </c>
      <c r="AJ9" s="11">
        <v>110.31609890434194</v>
      </c>
      <c r="AK9" s="11">
        <v>110.36481067933668</v>
      </c>
      <c r="AL9" s="11">
        <v>110.31070181595217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>
      <c r="L10" s="108" t="str">
        <f>name!F8</f>
        <v>RQF4 HE below degree level</v>
      </c>
      <c r="M10" s="11">
        <v>21.930311283055584</v>
      </c>
      <c r="N10" s="11">
        <v>21.983884712813026</v>
      </c>
      <c r="O10" s="11">
        <v>23.122261246621576</v>
      </c>
      <c r="P10" s="11">
        <v>22.323609241715307</v>
      </c>
      <c r="Q10" s="11">
        <v>23.485353741552679</v>
      </c>
      <c r="R10" s="11">
        <v>26.614616285853966</v>
      </c>
      <c r="S10" s="11">
        <v>27.037282816146753</v>
      </c>
      <c r="T10" s="11">
        <v>23.990280839470127</v>
      </c>
      <c r="U10" s="11">
        <v>23.504853921699702</v>
      </c>
      <c r="V10" s="11">
        <v>24.767108663845459</v>
      </c>
      <c r="W10" s="11">
        <v>26.960304923339123</v>
      </c>
      <c r="X10" s="11">
        <v>27.323950708932699</v>
      </c>
      <c r="Y10" s="11">
        <v>26.573854446899251</v>
      </c>
      <c r="Z10" s="11">
        <v>27.026933453002563</v>
      </c>
      <c r="AA10" s="11">
        <v>27.526133459944692</v>
      </c>
      <c r="AB10" s="11">
        <v>27.933787823735234</v>
      </c>
      <c r="AC10" s="11">
        <v>28.314811194888378</v>
      </c>
      <c r="AD10" s="11">
        <v>28.685608423760268</v>
      </c>
      <c r="AE10">
        <v>29.055545428357956</v>
      </c>
      <c r="AF10">
        <v>29.417325093699986</v>
      </c>
      <c r="AG10">
        <v>29.798303740407029</v>
      </c>
      <c r="AH10">
        <v>30.177246255635545</v>
      </c>
      <c r="AI10" s="11">
        <v>30.569431355573172</v>
      </c>
      <c r="AJ10" s="11">
        <v>30.984647825039204</v>
      </c>
      <c r="AK10" s="11">
        <v>31.38516537973651</v>
      </c>
      <c r="AL10" s="11">
        <v>31.755382202989395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>
      <c r="L11" s="108" t="str">
        <f>name!F7</f>
        <v>RQF5 Foundation degree;Nursing;Teaching</v>
      </c>
      <c r="M11" s="11">
        <v>26.341781759912568</v>
      </c>
      <c r="N11" s="11">
        <v>26.445544427659666</v>
      </c>
      <c r="O11" s="11">
        <v>27.148029996520226</v>
      </c>
      <c r="P11" s="11">
        <v>25.999350689274731</v>
      </c>
      <c r="Q11" s="11">
        <v>26.625759941697467</v>
      </c>
      <c r="R11" s="11">
        <v>27.262700234542443</v>
      </c>
      <c r="S11" s="11">
        <v>29.099100080495997</v>
      </c>
      <c r="T11" s="11">
        <v>26.612028259343699</v>
      </c>
      <c r="U11" s="11">
        <v>25.04043365638794</v>
      </c>
      <c r="V11" s="11">
        <v>24.998245553760093</v>
      </c>
      <c r="W11" s="11">
        <v>27.828114439543217</v>
      </c>
      <c r="X11" s="11">
        <v>27.533346120493544</v>
      </c>
      <c r="Y11" s="11">
        <v>26.472358559524334</v>
      </c>
      <c r="Z11" s="11">
        <v>26.663977110504582</v>
      </c>
      <c r="AA11" s="11">
        <v>26.914821950535039</v>
      </c>
      <c r="AB11" s="11">
        <v>27.09209478806142</v>
      </c>
      <c r="AC11" s="11">
        <v>27.25324550367899</v>
      </c>
      <c r="AD11" s="11">
        <v>27.421745901747475</v>
      </c>
      <c r="AE11">
        <v>27.576993758563859</v>
      </c>
      <c r="AF11">
        <v>27.799767701170563</v>
      </c>
      <c r="AG11">
        <v>28.03461299029075</v>
      </c>
      <c r="AH11">
        <v>28.279158160898557</v>
      </c>
      <c r="AI11" s="11">
        <v>28.545939196493656</v>
      </c>
      <c r="AJ11" s="11">
        <v>28.819551413897294</v>
      </c>
      <c r="AK11" s="11">
        <v>29.100216743119791</v>
      </c>
      <c r="AL11" s="11">
        <v>29.363125462266989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>
      <c r="L12" s="108" t="str">
        <f>name!F6</f>
        <v>RQF6 First degree</v>
      </c>
      <c r="M12" s="11">
        <v>63.452769163924209</v>
      </c>
      <c r="N12" s="11">
        <v>66.816627284745707</v>
      </c>
      <c r="O12" s="11">
        <v>70.590050233683428</v>
      </c>
      <c r="P12" s="11">
        <v>70.846513353488021</v>
      </c>
      <c r="Q12" s="11">
        <v>75.733302581678203</v>
      </c>
      <c r="R12" s="11">
        <v>83.671480205468967</v>
      </c>
      <c r="S12" s="11">
        <v>87.402102773251116</v>
      </c>
      <c r="T12" s="11">
        <v>82.024676470865288</v>
      </c>
      <c r="U12" s="11">
        <v>78.943948994443545</v>
      </c>
      <c r="V12" s="11">
        <v>81.914992761114377</v>
      </c>
      <c r="W12" s="11">
        <v>91.033181866654573</v>
      </c>
      <c r="X12" s="11">
        <v>93.248756638001353</v>
      </c>
      <c r="Y12" s="11">
        <v>91.799598700589357</v>
      </c>
      <c r="Z12" s="11">
        <v>93.715069060912739</v>
      </c>
      <c r="AA12" s="11">
        <v>95.777824676683437</v>
      </c>
      <c r="AB12" s="11">
        <v>97.545774606448177</v>
      </c>
      <c r="AC12" s="11">
        <v>99.165197170393853</v>
      </c>
      <c r="AD12" s="11">
        <v>100.71081577748653</v>
      </c>
      <c r="AE12">
        <v>102.2612298382744</v>
      </c>
      <c r="AF12">
        <v>103.74744728397818</v>
      </c>
      <c r="AG12">
        <v>105.24834107023888</v>
      </c>
      <c r="AH12">
        <v>106.71780955396694</v>
      </c>
      <c r="AI12">
        <v>108.15103428734211</v>
      </c>
      <c r="AJ12">
        <v>109.56025756369634</v>
      </c>
      <c r="AK12">
        <v>110.95793121969962</v>
      </c>
      <c r="AL12">
        <v>112.29678035556751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>
      <c r="L13" s="108" t="str">
        <f>name!F5</f>
        <v>RQF7 Other higher degree</v>
      </c>
      <c r="M13" s="11">
        <v>29.369595795282631</v>
      </c>
      <c r="N13" s="11">
        <v>24.546608938744605</v>
      </c>
      <c r="O13" s="11">
        <v>27.161240968900334</v>
      </c>
      <c r="P13" s="11">
        <v>28.876646791678251</v>
      </c>
      <c r="Q13" s="11">
        <v>28.5025074388899</v>
      </c>
      <c r="R13" s="11">
        <v>34.372407642251233</v>
      </c>
      <c r="S13" s="11">
        <v>36.220834681574203</v>
      </c>
      <c r="T13" s="11">
        <v>37.061370719350712</v>
      </c>
      <c r="U13" s="11">
        <v>42.351476604244496</v>
      </c>
      <c r="V13" s="11">
        <v>47.972540866402227</v>
      </c>
      <c r="W13" s="11">
        <v>47.91411092379191</v>
      </c>
      <c r="X13" s="11">
        <v>48.242024345287994</v>
      </c>
      <c r="Y13" s="11">
        <v>52.191426379012277</v>
      </c>
      <c r="Z13" s="11">
        <v>55.028799711659275</v>
      </c>
      <c r="AA13" s="11">
        <v>57.994395421804491</v>
      </c>
      <c r="AB13" s="11">
        <v>60.818658304566533</v>
      </c>
      <c r="AC13" s="11">
        <v>63.59053057870517</v>
      </c>
      <c r="AD13" s="11">
        <v>66.352149889998074</v>
      </c>
      <c r="AE13">
        <v>69.144714263942404</v>
      </c>
      <c r="AF13">
        <v>71.957669993779817</v>
      </c>
      <c r="AG13">
        <v>74.810076002584381</v>
      </c>
      <c r="AH13">
        <v>77.675321469551037</v>
      </c>
      <c r="AI13">
        <v>80.560357885299211</v>
      </c>
      <c r="AJ13">
        <v>83.469764380924403</v>
      </c>
      <c r="AK13">
        <v>86.383220624259323</v>
      </c>
      <c r="AL13">
        <v>89.274782430541478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>
      <c r="L14" s="108" t="str">
        <f>name!F4</f>
        <v>RQF8 Doctorate</v>
      </c>
      <c r="M14" s="11">
        <v>4.2948972299857004</v>
      </c>
      <c r="N14" s="11">
        <v>3.7675721584002217</v>
      </c>
      <c r="O14" s="11">
        <v>4.1283806988598863</v>
      </c>
      <c r="P14" s="11">
        <v>4.3548014813228582</v>
      </c>
      <c r="Q14" s="11">
        <v>4.5166427743056374</v>
      </c>
      <c r="R14" s="11">
        <v>5.307311262104184</v>
      </c>
      <c r="S14" s="11">
        <v>5.5492077728044285</v>
      </c>
      <c r="T14" s="11">
        <v>5.6463272308383452</v>
      </c>
      <c r="U14" s="11">
        <v>6.4225565826442601</v>
      </c>
      <c r="V14" s="11">
        <v>7.3068406233037084</v>
      </c>
      <c r="W14" s="11">
        <v>7.0915685334472149</v>
      </c>
      <c r="X14" s="11">
        <v>7.226782140945855</v>
      </c>
      <c r="Y14" s="11">
        <v>7.8681252824847814</v>
      </c>
      <c r="Z14" s="11">
        <v>8.2927948823258841</v>
      </c>
      <c r="AA14" s="11">
        <v>8.7401280663399881</v>
      </c>
      <c r="AB14" s="11">
        <v>9.1694021499465581</v>
      </c>
      <c r="AC14" s="11">
        <v>9.5950181055844812</v>
      </c>
      <c r="AD14" s="11">
        <v>10.022919361298742</v>
      </c>
      <c r="AE14">
        <v>10.443179054123487</v>
      </c>
      <c r="AF14">
        <v>10.862504563109454</v>
      </c>
      <c r="AG14">
        <v>11.290389492068311</v>
      </c>
      <c r="AH14">
        <v>11.721440296023689</v>
      </c>
      <c r="AI14">
        <v>12.156914903652918</v>
      </c>
      <c r="AJ14">
        <v>12.593267437020247</v>
      </c>
      <c r="AK14">
        <v>13.037560134873614</v>
      </c>
      <c r="AL14">
        <v>13.476587127561645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>
      <c r="L15" s="108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>
      <c r="L16" s="108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>
      <c r="A48" s="62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>
      <c r="A51" s="62" t="str">
        <f>CONCATENATE("Qualification Figure 1.1  Employment by Qualification, ",$M$2,"-",$O$2,Info!B9,", ",Info!B5)</f>
        <v>Qualification Figure 1.1  Employment by Qualification, 2010-2035, Black Country</v>
      </c>
    </row>
    <row r="52" spans="1:1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/>
  <cols>
    <col min="1" max="1" width="57.85546875" style="73" customWidth="1"/>
    <col min="2" max="6" width="11.7109375" style="73" customWidth="1"/>
    <col min="7" max="7" width="5.7109375" style="73" customWidth="1"/>
    <col min="8" max="12" width="11.7109375" style="73" customWidth="1"/>
    <col min="13" max="16384" width="9.140625" style="73"/>
  </cols>
  <sheetData>
    <row r="1" spans="1:12" ht="15.75">
      <c r="A1" s="18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>
      <c r="F3" s="99"/>
      <c r="L3" s="99" t="s">
        <v>127</v>
      </c>
    </row>
    <row r="4" spans="1:12">
      <c r="A4" s="78"/>
      <c r="B4" s="100" t="s">
        <v>128</v>
      </c>
      <c r="C4" s="78"/>
      <c r="D4" s="78"/>
      <c r="E4" s="78"/>
      <c r="F4" s="101"/>
      <c r="H4" s="100" t="s">
        <v>118</v>
      </c>
      <c r="I4" s="78"/>
      <c r="J4" s="78"/>
      <c r="K4" s="78"/>
      <c r="L4" s="78"/>
    </row>
    <row r="5" spans="1:12">
      <c r="A5" s="74"/>
      <c r="B5" s="102">
        <v>2008</v>
      </c>
      <c r="C5" s="102">
        <v>2010</v>
      </c>
      <c r="D5" s="102">
        <v>2012</v>
      </c>
      <c r="E5" s="102">
        <v>2015</v>
      </c>
      <c r="F5" s="102">
        <v>2020</v>
      </c>
      <c r="H5" s="103" t="str">
        <f>CONCATENATE(B$5,"-",C$5)</f>
        <v>2008-2010</v>
      </c>
      <c r="I5" s="103" t="str">
        <f>CONCATENATE(B$5,"-",D$5)</f>
        <v>2008-2012</v>
      </c>
      <c r="J5" s="103" t="str">
        <f>CONCATENATE(D$5,"-",E$5)</f>
        <v>2012-2015</v>
      </c>
      <c r="K5" s="103" t="str">
        <f>CONCATENATE(E$5,"-",F$5)</f>
        <v>2015-2020</v>
      </c>
      <c r="L5" s="103" t="str">
        <f>CONCATENATE(D$5,"-",F$5)</f>
        <v>2012-2020</v>
      </c>
    </row>
    <row r="7" spans="1:12" s="104" customFormat="1">
      <c r="A7" s="104" t="str">
        <f>name!F4</f>
        <v>RQF8 Doctorate</v>
      </c>
      <c r="B7" s="105">
        <v>71325.851049592791</v>
      </c>
      <c r="C7" s="105">
        <v>67875.205285452204</v>
      </c>
      <c r="D7" s="105">
        <v>65953.088065984106</v>
      </c>
      <c r="E7" s="105">
        <v>63161.5699830265</v>
      </c>
      <c r="F7" s="105">
        <v>59517.030027737295</v>
      </c>
      <c r="H7" s="105">
        <f>C7-B7</f>
        <v>-3450.6457641405868</v>
      </c>
      <c r="I7" s="105">
        <f>D7-B7</f>
        <v>-5372.7629836086853</v>
      </c>
      <c r="J7" s="105">
        <f>E7-D7</f>
        <v>-2791.5180829576057</v>
      </c>
      <c r="K7" s="105">
        <f>F7-E7</f>
        <v>-3644.539955289205</v>
      </c>
      <c r="L7" s="105">
        <f>F7-D7</f>
        <v>-6436.0580382468106</v>
      </c>
    </row>
    <row r="8" spans="1:12">
      <c r="A8" s="73" t="str">
        <f>name!J4</f>
        <v>SE</v>
      </c>
      <c r="B8" s="76">
        <v>21828.171692536111</v>
      </c>
      <c r="C8" s="76">
        <v>20792.172573048945</v>
      </c>
      <c r="D8" s="76">
        <v>20234.216118009812</v>
      </c>
      <c r="E8" s="76">
        <v>19430.497541178578</v>
      </c>
      <c r="F8" s="76">
        <v>18413.968008235337</v>
      </c>
      <c r="H8" s="76">
        <f>C8-B8</f>
        <v>-1035.9991194871654</v>
      </c>
      <c r="I8" s="76">
        <f>D8-B8</f>
        <v>-1593.9555745262987</v>
      </c>
      <c r="J8" s="76">
        <f t="shared" ref="J8:K10" si="0">E8-D8</f>
        <v>-803.7185768312338</v>
      </c>
      <c r="K8" s="76">
        <f t="shared" si="0"/>
        <v>-1016.5295329432411</v>
      </c>
      <c r="L8" s="76">
        <f>F8-D8</f>
        <v>-1820.2481097744749</v>
      </c>
    </row>
    <row r="9" spans="1:12">
      <c r="A9" s="73" t="str">
        <f>name!J5</f>
        <v>FT</v>
      </c>
      <c r="B9" s="76">
        <v>49497.679357056688</v>
      </c>
      <c r="C9" s="76">
        <v>47083.032712403263</v>
      </c>
      <c r="D9" s="76">
        <v>45718.871947974287</v>
      </c>
      <c r="E9" s="76">
        <v>43731.072441847915</v>
      </c>
      <c r="F9" s="76">
        <v>41103.062019501958</v>
      </c>
      <c r="H9" s="76">
        <f>C9-B9</f>
        <v>-2414.646644653425</v>
      </c>
      <c r="I9" s="76">
        <f>D9-B9</f>
        <v>-3778.8074090824011</v>
      </c>
      <c r="J9" s="76">
        <f t="shared" si="0"/>
        <v>-1987.7995061263719</v>
      </c>
      <c r="K9" s="76">
        <f t="shared" si="0"/>
        <v>-2628.0104223459566</v>
      </c>
      <c r="L9" s="76">
        <f>F9-D9</f>
        <v>-4615.8099284723285</v>
      </c>
    </row>
    <row r="10" spans="1:12">
      <c r="A10" s="73" t="str">
        <f>name!J6</f>
        <v>PT</v>
      </c>
      <c r="B10" s="76">
        <v>0</v>
      </c>
      <c r="C10" s="76">
        <v>0</v>
      </c>
      <c r="D10" s="76">
        <v>0</v>
      </c>
      <c r="E10" s="76">
        <v>0</v>
      </c>
      <c r="F10" s="76">
        <v>0</v>
      </c>
      <c r="H10" s="76">
        <f>C10-B10</f>
        <v>0</v>
      </c>
      <c r="I10" s="76">
        <f>D10-B10</f>
        <v>0</v>
      </c>
      <c r="J10" s="76">
        <f t="shared" si="0"/>
        <v>0</v>
      </c>
      <c r="K10" s="76">
        <f t="shared" si="0"/>
        <v>0</v>
      </c>
      <c r="L10" s="76">
        <f>F10-D10</f>
        <v>0</v>
      </c>
    </row>
    <row r="11" spans="1:12">
      <c r="H11" s="76"/>
      <c r="I11" s="76"/>
      <c r="J11" s="76"/>
      <c r="K11" s="76"/>
      <c r="L11" s="76"/>
    </row>
    <row r="12" spans="1:12" s="104" customFormat="1">
      <c r="A12" s="104" t="str">
        <f>name!F5</f>
        <v>RQF7 Other higher degree</v>
      </c>
      <c r="B12" s="105">
        <v>117603.36216609999</v>
      </c>
      <c r="C12" s="105">
        <v>115939.95604983499</v>
      </c>
      <c r="D12" s="105">
        <v>117782.27837055401</v>
      </c>
      <c r="E12" s="105">
        <v>118889.39584623399</v>
      </c>
      <c r="F12" s="105">
        <v>120707.41471465</v>
      </c>
      <c r="H12" s="105">
        <f>C12-B12</f>
        <v>-1663.4061162650032</v>
      </c>
      <c r="I12" s="105">
        <f>D12-B12</f>
        <v>178.9162044540135</v>
      </c>
      <c r="J12" s="105">
        <f t="shared" ref="J12:K14" si="1">E12-D12</f>
        <v>1107.1174756799883</v>
      </c>
      <c r="K12" s="105">
        <f t="shared" si="1"/>
        <v>1818.0188684160094</v>
      </c>
      <c r="L12" s="105">
        <f>F12-D12</f>
        <v>2925.1363440959976</v>
      </c>
    </row>
    <row r="13" spans="1:12">
      <c r="A13" s="73">
        <f>name!J7</f>
        <v>0</v>
      </c>
      <c r="B13" s="76">
        <v>85684.696366442135</v>
      </c>
      <c r="C13" s="76">
        <v>84496.661838978005</v>
      </c>
      <c r="D13" s="76">
        <v>85862.536135946357</v>
      </c>
      <c r="E13" s="76">
        <v>86649.544796460745</v>
      </c>
      <c r="F13" s="76">
        <v>87931.502704386687</v>
      </c>
      <c r="H13" s="76">
        <f>C13-B13</f>
        <v>-1188.0345274641295</v>
      </c>
      <c r="I13" s="76">
        <f>D13-B13</f>
        <v>177.8397695042222</v>
      </c>
      <c r="J13" s="76">
        <f t="shared" si="1"/>
        <v>787.00866051438788</v>
      </c>
      <c r="K13" s="76">
        <f t="shared" si="1"/>
        <v>1281.957907925942</v>
      </c>
      <c r="L13" s="76">
        <f>F13-D13</f>
        <v>2068.9665684403299</v>
      </c>
    </row>
    <row r="14" spans="1:12">
      <c r="A14" s="73">
        <f>name!J8</f>
        <v>0</v>
      </c>
      <c r="B14" s="76">
        <v>31918.665799657861</v>
      </c>
      <c r="C14" s="76">
        <v>31443.29421085698</v>
      </c>
      <c r="D14" s="76">
        <v>31919.742234607653</v>
      </c>
      <c r="E14" s="76">
        <v>32239.851049773246</v>
      </c>
      <c r="F14" s="76">
        <v>32775.912010263324</v>
      </c>
      <c r="H14" s="76">
        <f>C14-B14</f>
        <v>-475.371588800881</v>
      </c>
      <c r="I14" s="76">
        <f>D14-B14</f>
        <v>1.0764349497912917</v>
      </c>
      <c r="J14" s="76">
        <f t="shared" si="1"/>
        <v>320.10881516559311</v>
      </c>
      <c r="K14" s="76">
        <f t="shared" si="1"/>
        <v>536.06096049007829</v>
      </c>
      <c r="L14" s="76">
        <f>F14-D14</f>
        <v>856.1697756556714</v>
      </c>
    </row>
    <row r="15" spans="1:12">
      <c r="H15" s="76"/>
      <c r="I15" s="76"/>
      <c r="J15" s="76"/>
      <c r="K15" s="76"/>
      <c r="L15" s="76"/>
    </row>
    <row r="16" spans="1:12" s="104" customFormat="1">
      <c r="A16" s="104" t="str">
        <f>name!F6</f>
        <v>RQF6 First degree</v>
      </c>
      <c r="B16" s="105">
        <v>10699.858351711669</v>
      </c>
      <c r="C16" s="105">
        <v>10970.73916072664</v>
      </c>
      <c r="D16" s="105">
        <v>11301.540359819686</v>
      </c>
      <c r="E16" s="105">
        <v>11603.888290360199</v>
      </c>
      <c r="F16" s="105">
        <v>11675.073262162417</v>
      </c>
      <c r="H16" s="105">
        <f>C16-B16</f>
        <v>270.88080901497051</v>
      </c>
      <c r="I16" s="105">
        <f>D16-B16</f>
        <v>601.68200810801682</v>
      </c>
      <c r="J16" s="105">
        <f t="shared" ref="J16:K18" si="2">E16-D16</f>
        <v>302.34793054051261</v>
      </c>
      <c r="K16" s="105">
        <f t="shared" si="2"/>
        <v>71.18497180221857</v>
      </c>
      <c r="L16" s="105">
        <f>F16-D16</f>
        <v>373.53290234273118</v>
      </c>
    </row>
    <row r="17" spans="1:12">
      <c r="A17" s="73">
        <f>name!J9</f>
        <v>0</v>
      </c>
      <c r="B17" s="76">
        <v>8525.1872183076739</v>
      </c>
      <c r="C17" s="76">
        <v>8709.9422108052859</v>
      </c>
      <c r="D17" s="76">
        <v>8966.579956519352</v>
      </c>
      <c r="E17" s="76">
        <v>9198.0093388787081</v>
      </c>
      <c r="F17" s="76">
        <v>9243.5195858644965</v>
      </c>
      <c r="H17" s="76">
        <f>C17-B17</f>
        <v>184.75499249761197</v>
      </c>
      <c r="I17" s="76">
        <f>D17-B17</f>
        <v>441.39273821167808</v>
      </c>
      <c r="J17" s="76">
        <f t="shared" si="2"/>
        <v>231.42938235935617</v>
      </c>
      <c r="K17" s="76">
        <f t="shared" si="2"/>
        <v>45.510246985788399</v>
      </c>
      <c r="L17" s="76">
        <f>F17-D17</f>
        <v>276.93962934514457</v>
      </c>
    </row>
    <row r="18" spans="1:12">
      <c r="A18" s="73">
        <f>name!J10</f>
        <v>0</v>
      </c>
      <c r="B18" s="76">
        <v>2174.6711334039956</v>
      </c>
      <c r="C18" s="76">
        <v>2260.7969499213555</v>
      </c>
      <c r="D18" s="76">
        <v>2334.9604033003338</v>
      </c>
      <c r="E18" s="76">
        <v>2405.8789514814907</v>
      </c>
      <c r="F18" s="76">
        <v>2431.5536762979191</v>
      </c>
      <c r="H18" s="76">
        <f>C18-B18</f>
        <v>86.125816517359908</v>
      </c>
      <c r="I18" s="76">
        <f>D18-B18</f>
        <v>160.28926989633828</v>
      </c>
      <c r="J18" s="76">
        <f t="shared" si="2"/>
        <v>70.918548181156893</v>
      </c>
      <c r="K18" s="76">
        <f t="shared" si="2"/>
        <v>25.674724816428352</v>
      </c>
      <c r="L18" s="76">
        <f>F18-D18</f>
        <v>96.593272997585245</v>
      </c>
    </row>
    <row r="19" spans="1:12">
      <c r="H19" s="76"/>
      <c r="I19" s="76"/>
      <c r="J19" s="76"/>
      <c r="K19" s="76"/>
      <c r="L19" s="76"/>
    </row>
    <row r="20" spans="1:12">
      <c r="A20" s="74" t="str">
        <f>name!J3</f>
        <v>EE</v>
      </c>
      <c r="B20" s="75">
        <v>199629.07156740446</v>
      </c>
      <c r="C20" s="75">
        <v>194785.90049601384</v>
      </c>
      <c r="D20" s="75">
        <v>195036.90679635777</v>
      </c>
      <c r="E20" s="75">
        <v>193654.85411962072</v>
      </c>
      <c r="F20" s="75">
        <v>191899.51800454973</v>
      </c>
      <c r="H20" s="75">
        <f>C20-B20</f>
        <v>-4843.1710713906214</v>
      </c>
      <c r="I20" s="75">
        <f>D20-B20</f>
        <v>-4592.1647710466932</v>
      </c>
      <c r="J20" s="75">
        <f>E20-D20</f>
        <v>-1382.0526767370466</v>
      </c>
      <c r="K20" s="75">
        <f>F20-E20</f>
        <v>-1755.336115070997</v>
      </c>
      <c r="L20" s="75">
        <f>F20-D20</f>
        <v>-3137.3887918080436</v>
      </c>
    </row>
    <row r="23" spans="1:12">
      <c r="A23" s="73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/>
  <cols>
    <col min="1" max="1" width="50.7109375" style="112" customWidth="1"/>
    <col min="2" max="2" width="13" style="112" customWidth="1"/>
    <col min="3" max="3" width="10.140625" style="112" customWidth="1"/>
    <col min="4" max="4" width="3.7109375" style="112" customWidth="1"/>
    <col min="5" max="6" width="10.140625" style="112" customWidth="1"/>
    <col min="7" max="7" width="3.7109375" style="112" customWidth="1"/>
    <col min="8" max="9" width="10.140625" style="112" customWidth="1"/>
    <col min="10" max="10" width="3.7109375" style="112" customWidth="1"/>
    <col min="11" max="12" width="10.140625" style="112" customWidth="1"/>
    <col min="13" max="13" width="3.7109375" style="112" customWidth="1"/>
    <col min="14" max="15" width="10.140625" style="112" customWidth="1"/>
    <col min="16" max="16" width="3.7109375" style="112" customWidth="1"/>
    <col min="17" max="18" width="10.140625" style="112" customWidth="1"/>
    <col min="19" max="19" width="9.140625" style="112"/>
    <col min="20" max="20" width="16.7109375" style="112" customWidth="1"/>
    <col min="21" max="21" width="9.140625" style="112"/>
    <col min="22" max="22" width="8.85546875" style="112" customWidth="1"/>
    <col min="23" max="41" width="9.140625" style="112"/>
    <col min="42" max="46" width="9.140625" style="119" customWidth="1"/>
    <col min="47" max="49" width="9.140625" style="112"/>
    <col min="50" max="50" width="9.140625" style="112" customWidth="1"/>
    <col min="51" max="16384" width="9.140625" style="112"/>
  </cols>
  <sheetData>
    <row r="1" spans="1:97" ht="18.75" customHeight="1">
      <c r="A1" s="252" t="str">
        <f>CONCATENATE("ShiftShare Table 1  Shift-share by occupation, ",I4,", ",Info!B5)</f>
        <v>ShiftShare Table 1  Shift-share by occupation, 2015-2020, Black Country</v>
      </c>
      <c r="W1" s="180" t="str">
        <f>CONCATENATE("Shift-share Figure 1: Levels of Employment, ",C4," - ",F40,", ",Info!B5)</f>
        <v>Shift-share Figure 1: Levels of Employment, 2015 - 2035, Black Country</v>
      </c>
      <c r="AK1" s="180" t="str">
        <f>CONCATENATE("Shift-share Figure 1.1: Net Changes, ",C4,"-",F40,", ",Info!B5)</f>
        <v>Shift-share Figure 1.1: Net Changes, 2015-2035, Black Country</v>
      </c>
    </row>
    <row r="2" spans="1:97" ht="18.75" customHeight="1">
      <c r="A2" s="118" t="s">
        <v>161</v>
      </c>
      <c r="W2" s="180"/>
      <c r="AK2" s="180"/>
    </row>
    <row r="3" spans="1:97">
      <c r="A3" s="127"/>
      <c r="B3" s="251"/>
      <c r="C3" s="251"/>
      <c r="D3" s="251"/>
      <c r="E3" s="251"/>
      <c r="F3" s="251"/>
      <c r="G3" s="251"/>
      <c r="H3" s="251"/>
      <c r="I3" s="251"/>
      <c r="J3" s="251"/>
      <c r="K3" s="352" t="s">
        <v>182</v>
      </c>
      <c r="L3" s="352"/>
      <c r="M3" s="352"/>
      <c r="N3" s="352"/>
      <c r="O3" s="352"/>
      <c r="P3" s="352"/>
      <c r="Q3" s="352"/>
      <c r="R3" s="352"/>
      <c r="AT3" s="120"/>
      <c r="AU3" s="108"/>
      <c r="AW3" s="120"/>
      <c r="AX3" s="119"/>
      <c r="AY3" s="121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  <c r="BL3" s="108"/>
      <c r="BM3" s="108"/>
      <c r="BN3" s="108"/>
      <c r="BO3" s="108"/>
      <c r="BP3" s="108"/>
      <c r="BQ3" s="108"/>
      <c r="BR3" s="108"/>
      <c r="BS3" s="108"/>
      <c r="BT3" s="108"/>
      <c r="BU3" s="108"/>
      <c r="BV3" s="108"/>
      <c r="BW3" s="108"/>
      <c r="BX3" s="108"/>
      <c r="BY3" s="108"/>
      <c r="BZ3" s="108"/>
      <c r="CA3" s="108"/>
      <c r="CB3" s="108"/>
      <c r="CC3" s="108"/>
      <c r="CD3" s="108"/>
      <c r="CE3" s="108"/>
      <c r="CF3" s="108"/>
      <c r="CG3" s="108"/>
      <c r="CH3" s="108"/>
      <c r="CI3" s="108"/>
      <c r="CJ3" s="108"/>
      <c r="CK3" s="108"/>
      <c r="CL3" s="108"/>
      <c r="CM3" s="108"/>
      <c r="CN3" s="108"/>
      <c r="CO3" s="108"/>
      <c r="CP3" s="108"/>
      <c r="CQ3" s="108"/>
      <c r="CR3" s="108"/>
      <c r="CS3" s="108"/>
    </row>
    <row r="4" spans="1:97">
      <c r="B4" s="246" t="s">
        <v>183</v>
      </c>
      <c r="C4" s="247">
        <v>2015</v>
      </c>
      <c r="D4" s="118"/>
      <c r="E4" s="246" t="s">
        <v>184</v>
      </c>
      <c r="F4" s="247">
        <v>2020</v>
      </c>
      <c r="G4" s="118"/>
      <c r="H4" s="246" t="s">
        <v>118</v>
      </c>
      <c r="I4" s="246" t="str">
        <f>CONCATENATE(C4,"-",F4)</f>
        <v>2015-2020</v>
      </c>
      <c r="J4" s="118"/>
      <c r="K4" s="351" t="s">
        <v>185</v>
      </c>
      <c r="L4" s="351"/>
      <c r="M4" s="118"/>
      <c r="N4" s="351" t="s">
        <v>186</v>
      </c>
      <c r="O4" s="351"/>
      <c r="P4" s="118"/>
      <c r="Q4" s="351" t="s">
        <v>187</v>
      </c>
      <c r="R4" s="351"/>
      <c r="AW4" s="119"/>
      <c r="AX4" s="119"/>
      <c r="AY4" s="121"/>
    </row>
    <row r="5" spans="1:97">
      <c r="A5" s="124" t="s">
        <v>188</v>
      </c>
      <c r="B5" s="248" t="s">
        <v>139</v>
      </c>
      <c r="C5" s="248" t="s">
        <v>168</v>
      </c>
      <c r="D5" s="118"/>
      <c r="E5" s="248" t="str">
        <f>B5</f>
        <v>000s</v>
      </c>
      <c r="F5" s="248" t="str">
        <f>C5</f>
        <v>% share</v>
      </c>
      <c r="G5" s="118"/>
      <c r="H5" s="248" t="str">
        <f>E5</f>
        <v>000s</v>
      </c>
      <c r="I5" s="248" t="s">
        <v>189</v>
      </c>
      <c r="J5" s="118"/>
      <c r="K5" s="248" t="str">
        <f>H5</f>
        <v>000s</v>
      </c>
      <c r="L5" s="248" t="str">
        <f>I5</f>
        <v xml:space="preserve">%   </v>
      </c>
      <c r="M5" s="118"/>
      <c r="N5" s="248" t="str">
        <f>K5</f>
        <v>000s</v>
      </c>
      <c r="O5" s="248" t="str">
        <f>L5</f>
        <v xml:space="preserve">%   </v>
      </c>
      <c r="P5" s="118"/>
      <c r="Q5" s="248" t="str">
        <f>N5</f>
        <v>000s</v>
      </c>
      <c r="R5" s="248" t="str">
        <f>O5</f>
        <v xml:space="preserve">%   </v>
      </c>
      <c r="Z5" s="121" t="e">
        <f>"Levels of Employment, "&amp;#REF!&amp;"-"&amp;#REF!</f>
        <v>#REF!</v>
      </c>
      <c r="AM5" s="112" t="e">
        <f>"Net Changes, "&amp;#REF!&amp;"-"&amp;#REF!</f>
        <v>#REF!</v>
      </c>
      <c r="AV5" s="119"/>
      <c r="AW5" s="119"/>
      <c r="AX5" s="119"/>
    </row>
    <row r="6" spans="1:97">
      <c r="A6" s="124"/>
      <c r="B6" s="246"/>
      <c r="C6" s="246"/>
      <c r="D6" s="118"/>
      <c r="E6" s="246"/>
      <c r="F6" s="246"/>
      <c r="G6" s="118"/>
      <c r="H6" s="246"/>
      <c r="I6" s="246"/>
      <c r="J6" s="118"/>
      <c r="K6" s="246"/>
      <c r="L6" s="246"/>
      <c r="M6" s="118"/>
      <c r="N6" s="246"/>
      <c r="O6" s="246"/>
      <c r="P6" s="118"/>
      <c r="Q6" s="246"/>
      <c r="R6" s="246"/>
      <c r="T6" s="118"/>
      <c r="AV6" s="119"/>
      <c r="AW6" s="119"/>
      <c r="AX6" s="119"/>
      <c r="AY6" s="121"/>
    </row>
    <row r="7" spans="1:97">
      <c r="A7" s="253"/>
      <c r="B7" s="246"/>
      <c r="C7" s="246"/>
      <c r="D7" s="251"/>
      <c r="E7" s="246"/>
      <c r="F7" s="246"/>
      <c r="G7" s="251"/>
      <c r="H7" s="246"/>
      <c r="I7" s="246"/>
      <c r="J7" s="251"/>
      <c r="K7" s="246"/>
      <c r="L7" s="246"/>
      <c r="M7" s="251"/>
      <c r="N7" s="246"/>
      <c r="O7" s="246"/>
      <c r="P7" s="251"/>
      <c r="Q7" s="246"/>
      <c r="R7" s="246"/>
      <c r="T7" s="118"/>
      <c r="AV7" s="119"/>
      <c r="AW7" s="119"/>
      <c r="AX7" s="119"/>
      <c r="AY7" s="121"/>
    </row>
    <row r="8" spans="1:97">
      <c r="A8" s="10" t="str">
        <f>name!$D4</f>
        <v>11 Corporate managers and directors</v>
      </c>
      <c r="B8" s="132">
        <v>29.880785800881405</v>
      </c>
      <c r="C8" s="122">
        <f t="shared" ref="C8:C33" si="0">B8/B$35*100</f>
        <v>5.9104097619839706</v>
      </c>
      <c r="E8" s="132">
        <v>34.557349518918279</v>
      </c>
      <c r="F8" s="122">
        <f t="shared" ref="F8:F33" si="1">E8/E$35*100</f>
        <v>6.9644835525859454</v>
      </c>
      <c r="H8" s="132">
        <f>E8-B8</f>
        <v>4.6765637180368742</v>
      </c>
      <c r="I8" s="122">
        <f>IF(B8&lt;&gt;0,((E8/B8)-1)*100,0)</f>
        <v>15.650738736258152</v>
      </c>
      <c r="K8" s="184">
        <f t="shared" ref="K8:K33" si="2">(($E$35/$B$35)-1)*B8</f>
        <v>-0.55368718650268667</v>
      </c>
      <c r="L8" s="122">
        <f>IF(B8&lt;&gt;0,K8/B8*100,0)</f>
        <v>-1.8529873685127596</v>
      </c>
      <c r="N8" s="132">
        <f>H8-(K8+Q8)</f>
        <v>5.7355342975602532</v>
      </c>
      <c r="O8" s="122">
        <f>IF(B8&lt;&gt;0,N8/B8*100,0)</f>
        <v>19.194723779289198</v>
      </c>
      <c r="Q8" s="132">
        <v>-0.50528339302069214</v>
      </c>
      <c r="R8" s="122">
        <f>IF(B8&lt;&gt;0,Q8/B8*100,0)</f>
        <v>-1.6909976745182773</v>
      </c>
      <c r="AT8" s="119" t="e">
        <f ca="1">CONCATENATE("C:",INT(CELL("col",#REF!))," R:",INT(CELL("row",#REF!)))</f>
        <v>#REF!</v>
      </c>
    </row>
    <row r="9" spans="1:97">
      <c r="A9" s="10" t="str">
        <f>name!$D5</f>
        <v>12 Other managers and proprietors</v>
      </c>
      <c r="B9" s="132">
        <v>12.511934815118931</v>
      </c>
      <c r="C9" s="122">
        <f t="shared" si="0"/>
        <v>2.4748566575650321</v>
      </c>
      <c r="E9" s="132">
        <v>13.243017973457505</v>
      </c>
      <c r="F9" s="122">
        <f t="shared" si="1"/>
        <v>2.6689194092345967</v>
      </c>
      <c r="H9" s="132">
        <f t="shared" ref="H9:H32" si="3">E9-B9</f>
        <v>0.73108315833857418</v>
      </c>
      <c r="I9" s="122">
        <f t="shared" ref="I9:I32" si="4">IF(B9&lt;&gt;0,((E9/B9)-1)*100,0)</f>
        <v>5.8430863742605421</v>
      </c>
      <c r="K9" s="184">
        <f t="shared" si="2"/>
        <v>-0.23184457168070408</v>
      </c>
      <c r="L9" s="122">
        <f t="shared" ref="L9:L32" si="5">IF(B9&lt;&gt;0,K9/B9*100,0)</f>
        <v>-1.8529873685127596</v>
      </c>
      <c r="N9" s="132">
        <f t="shared" ref="N9:N31" si="6">H9-(K9+Q9)</f>
        <v>0.92176256578152294</v>
      </c>
      <c r="O9" s="122">
        <f>IF(B9&lt;&gt;0,N9/B9*100,0)</f>
        <v>7.367066560063126</v>
      </c>
      <c r="Q9" s="132">
        <v>4.1165164237755375E-2</v>
      </c>
      <c r="R9" s="122">
        <f>IF(B9&lt;&gt;0,Q9/B9*100,0)</f>
        <v>0.32900718271016732</v>
      </c>
      <c r="T9" s="118"/>
    </row>
    <row r="10" spans="1:97">
      <c r="A10" s="10" t="str">
        <f>name!$D6</f>
        <v>21 Science, research, engineering and technology professionals</v>
      </c>
      <c r="B10" s="132">
        <v>23.692567314037611</v>
      </c>
      <c r="C10" s="122">
        <f t="shared" si="0"/>
        <v>4.6863821477954444</v>
      </c>
      <c r="E10" s="132">
        <v>26.67415223973487</v>
      </c>
      <c r="F10" s="122">
        <f t="shared" si="1"/>
        <v>5.3757506619860154</v>
      </c>
      <c r="H10" s="132">
        <f t="shared" si="3"/>
        <v>2.9815849256972591</v>
      </c>
      <c r="I10" s="122">
        <f t="shared" si="4"/>
        <v>12.584473797952246</v>
      </c>
      <c r="K10" s="184">
        <f t="shared" si="2"/>
        <v>-0.43902027960549972</v>
      </c>
      <c r="L10" s="122">
        <f t="shared" si="5"/>
        <v>-1.8529873685127596</v>
      </c>
      <c r="N10" s="132">
        <f t="shared" si="6"/>
        <v>4.1032666399339872</v>
      </c>
      <c r="O10" s="122">
        <f t="shared" ref="O10:O32" si="7">IF(B10&lt;&gt;0,N10/B10*100,0)</f>
        <v>17.318792790778915</v>
      </c>
      <c r="Q10" s="132">
        <v>-0.68266143463122864</v>
      </c>
      <c r="R10" s="122">
        <f t="shared" ref="R10:R32" si="8">IF(B10&lt;&gt;0,Q10/B10*100,0)</f>
        <v>-2.8813316243139195</v>
      </c>
      <c r="AT10" s="119" t="e">
        <f ca="1">CONCATENATE("C:",INT(CELL("col",#REF!))," R:",INT(CELL("row",#REF!)))</f>
        <v>#REF!</v>
      </c>
    </row>
    <row r="11" spans="1:97">
      <c r="A11" s="10" t="str">
        <f>name!$D7</f>
        <v>22 Health professionals</v>
      </c>
      <c r="B11" s="132">
        <v>21.674771905892207</v>
      </c>
      <c r="C11" s="122">
        <f t="shared" si="0"/>
        <v>4.287262869023424</v>
      </c>
      <c r="E11" s="132">
        <v>26.885303796114776</v>
      </c>
      <c r="F11" s="122">
        <f t="shared" si="1"/>
        <v>5.4183048960920122</v>
      </c>
      <c r="H11" s="132">
        <f>E11-B11</f>
        <v>5.210531890222569</v>
      </c>
      <c r="I11" s="122">
        <f>IF(B11&lt;&gt;0,((E11/B11)-1)*100,0)</f>
        <v>24.039615793170597</v>
      </c>
      <c r="K11" s="184">
        <f t="shared" si="2"/>
        <v>-0.40163078557013493</v>
      </c>
      <c r="L11" s="122">
        <f t="shared" si="5"/>
        <v>-1.8529873685127596</v>
      </c>
      <c r="N11" s="132">
        <f t="shared" si="6"/>
        <v>2.6995403127120898</v>
      </c>
      <c r="O11" s="122">
        <f t="shared" si="7"/>
        <v>12.454757652966258</v>
      </c>
      <c r="Q11" s="132">
        <v>2.9126223630806143</v>
      </c>
      <c r="R11" s="122">
        <f>IF(B11&lt;&gt;0,Q11/B11*100,0)</f>
        <v>13.43784550871711</v>
      </c>
      <c r="T11" s="118"/>
    </row>
    <row r="12" spans="1:97">
      <c r="A12" s="10" t="str">
        <f>name!$D8</f>
        <v>23 Teaching and other educational professionals</v>
      </c>
      <c r="B12" s="132">
        <v>19.540374765671235</v>
      </c>
      <c r="C12" s="122">
        <f t="shared" si="0"/>
        <v>3.8650798053792075</v>
      </c>
      <c r="E12" s="132">
        <v>22.026617843508607</v>
      </c>
      <c r="F12" s="122">
        <f t="shared" si="1"/>
        <v>4.4391141052710479</v>
      </c>
      <c r="H12" s="132">
        <f t="shared" si="3"/>
        <v>2.4862430778373721</v>
      </c>
      <c r="I12" s="122">
        <f t="shared" si="4"/>
        <v>12.723620235806511</v>
      </c>
      <c r="K12" s="184">
        <f t="shared" si="2"/>
        <v>-0.36208067616794271</v>
      </c>
      <c r="L12" s="122">
        <f t="shared" si="5"/>
        <v>-1.8529873685127596</v>
      </c>
      <c r="N12" s="132">
        <f t="shared" si="6"/>
        <v>2.4737933966524555</v>
      </c>
      <c r="O12" s="122">
        <f t="shared" si="7"/>
        <v>12.659907633902936</v>
      </c>
      <c r="Q12" s="132">
        <v>0.37453035735285922</v>
      </c>
      <c r="R12" s="122">
        <f t="shared" si="8"/>
        <v>1.9166999704163232</v>
      </c>
      <c r="AT12" s="119" t="e">
        <f ca="1">CONCATENATE("C:",INT(CELL("col",#REF!))," R:",INT(CELL("row",#REF!)))</f>
        <v>#REF!</v>
      </c>
    </row>
    <row r="13" spans="1:97">
      <c r="A13" s="10" t="str">
        <f>name!$D9</f>
        <v>24 Business, media and public service professionals</v>
      </c>
      <c r="B13" s="132">
        <v>22.806193659159341</v>
      </c>
      <c r="C13" s="122">
        <f t="shared" si="0"/>
        <v>4.5110577256912778</v>
      </c>
      <c r="E13" s="132">
        <v>27.957759360330201</v>
      </c>
      <c r="F13" s="122">
        <f t="shared" si="1"/>
        <v>5.6344412387756044</v>
      </c>
      <c r="H13" s="132">
        <f t="shared" si="3"/>
        <v>5.1515657011708598</v>
      </c>
      <c r="I13" s="122">
        <f t="shared" si="4"/>
        <v>22.58845021734659</v>
      </c>
      <c r="K13" s="184">
        <f t="shared" si="2"/>
        <v>-0.42259588774278051</v>
      </c>
      <c r="L13" s="122">
        <f t="shared" si="5"/>
        <v>-1.8529873685127596</v>
      </c>
      <c r="N13" s="132">
        <f>H13-(K13+Q13)</f>
        <v>6.237464831689266</v>
      </c>
      <c r="O13" s="122">
        <f>IF(B13&lt;&gt;0,N13/B13*100,0)</f>
        <v>27.34987225360247</v>
      </c>
      <c r="Q13" s="132">
        <v>-0.66330324277562536</v>
      </c>
      <c r="R13" s="122">
        <f t="shared" si="8"/>
        <v>-2.9084346677431281</v>
      </c>
      <c r="T13" s="118"/>
    </row>
    <row r="14" spans="1:97">
      <c r="A14" s="10" t="str">
        <f>name!$D10</f>
        <v>31 Science, engineering and technology associate professionals</v>
      </c>
      <c r="B14" s="132">
        <v>7.6396337675645283</v>
      </c>
      <c r="C14" s="122">
        <f t="shared" si="0"/>
        <v>1.511117087036709</v>
      </c>
      <c r="E14" s="132">
        <v>8.7119007645620972</v>
      </c>
      <c r="F14" s="122">
        <f t="shared" si="1"/>
        <v>1.7557448829615236</v>
      </c>
      <c r="H14" s="132">
        <f t="shared" si="3"/>
        <v>1.0722669969975689</v>
      </c>
      <c r="I14" s="122">
        <f t="shared" si="4"/>
        <v>14.035581149846156</v>
      </c>
      <c r="K14" s="184">
        <f t="shared" si="2"/>
        <v>-0.14156144871360615</v>
      </c>
      <c r="L14" s="122">
        <f>IF(B14&lt;&gt;0,K14/B14*100,0)</f>
        <v>-1.8529873685127596</v>
      </c>
      <c r="N14" s="132">
        <f t="shared" si="6"/>
        <v>1.6006374602283977</v>
      </c>
      <c r="O14" s="122">
        <f t="shared" si="7"/>
        <v>20.951756444454166</v>
      </c>
      <c r="Q14" s="132">
        <v>-0.38680901451722272</v>
      </c>
      <c r="R14" s="122">
        <f t="shared" si="8"/>
        <v>-5.0631879260952477</v>
      </c>
      <c r="AT14" s="119" t="e">
        <f ca="1">CONCATENATE("C:",INT(CELL("col",#REF!))," R:",INT(CELL("row",#REF!)))</f>
        <v>#REF!</v>
      </c>
    </row>
    <row r="15" spans="1:97">
      <c r="A15" s="10" t="str">
        <f>name!$D11</f>
        <v>32 Health and social care associate professionals</v>
      </c>
      <c r="B15" s="132">
        <v>9.0328897579836376</v>
      </c>
      <c r="C15" s="122">
        <f t="shared" si="0"/>
        <v>1.7867026710835934</v>
      </c>
      <c r="E15" s="132">
        <v>11.001883705458065</v>
      </c>
      <c r="F15" s="122">
        <f t="shared" si="1"/>
        <v>2.2172544822101985</v>
      </c>
      <c r="H15" s="132">
        <f t="shared" si="3"/>
        <v>1.9689939474744271</v>
      </c>
      <c r="I15" s="122">
        <f t="shared" si="4"/>
        <v>21.798051346017466</v>
      </c>
      <c r="K15" s="184">
        <f t="shared" si="2"/>
        <v>-0.16737830622711958</v>
      </c>
      <c r="L15" s="122">
        <f t="shared" si="5"/>
        <v>-1.8529873685127596</v>
      </c>
      <c r="N15" s="132">
        <f t="shared" si="6"/>
        <v>0.93802688519140265</v>
      </c>
      <c r="O15" s="122">
        <f t="shared" si="7"/>
        <v>10.384571386607879</v>
      </c>
      <c r="Q15" s="132">
        <v>1.1983453685101442</v>
      </c>
      <c r="R15" s="122">
        <f t="shared" si="8"/>
        <v>13.266467327922356</v>
      </c>
      <c r="T15" s="11"/>
    </row>
    <row r="16" spans="1:97">
      <c r="A16" s="10" t="str">
        <f>name!$D12</f>
        <v>33 Protective service occupations</v>
      </c>
      <c r="B16" s="132">
        <v>4.4444232941510675</v>
      </c>
      <c r="C16" s="122">
        <f t="shared" si="0"/>
        <v>0.87910548936650024</v>
      </c>
      <c r="E16" s="132">
        <v>4.6873216411379666</v>
      </c>
      <c r="F16" s="122">
        <f t="shared" si="1"/>
        <v>0.9446550424104222</v>
      </c>
      <c r="H16" s="132">
        <f t="shared" si="3"/>
        <v>0.24289834698689905</v>
      </c>
      <c r="I16" s="122">
        <f t="shared" si="4"/>
        <v>5.4652388152711895</v>
      </c>
      <c r="K16" s="184">
        <f t="shared" si="2"/>
        <v>-8.2354602243857974E-2</v>
      </c>
      <c r="L16" s="122">
        <f t="shared" si="5"/>
        <v>-1.8529873685127596</v>
      </c>
      <c r="N16" s="132">
        <f t="shared" si="6"/>
        <v>0.45657808211679468</v>
      </c>
      <c r="O16" s="122">
        <f t="shared" si="7"/>
        <v>10.273055735209983</v>
      </c>
      <c r="Q16" s="132">
        <v>-0.13132513288603764</v>
      </c>
      <c r="R16" s="122">
        <f t="shared" si="8"/>
        <v>-2.9548295514260228</v>
      </c>
      <c r="T16" s="11"/>
    </row>
    <row r="17" spans="1:20">
      <c r="A17" s="10" t="str">
        <f>name!$D13</f>
        <v>34 Culture, media and sports occupations</v>
      </c>
      <c r="B17" s="132">
        <v>7.5269975158661087</v>
      </c>
      <c r="C17" s="122">
        <f t="shared" si="0"/>
        <v>1.4888376728998831</v>
      </c>
      <c r="E17" s="132">
        <v>7.6956038424600592</v>
      </c>
      <c r="F17" s="122">
        <f t="shared" si="1"/>
        <v>1.5509264204041293</v>
      </c>
      <c r="H17" s="132">
        <f t="shared" si="3"/>
        <v>0.16860632659395058</v>
      </c>
      <c r="I17" s="122">
        <f t="shared" si="4"/>
        <v>2.2400210208459059</v>
      </c>
      <c r="K17" s="184">
        <f t="shared" si="2"/>
        <v>-0.13947431319726819</v>
      </c>
      <c r="L17" s="122">
        <f t="shared" si="5"/>
        <v>-1.8529873685127596</v>
      </c>
      <c r="N17" s="132">
        <f t="shared" si="6"/>
        <v>0.5953315146365743</v>
      </c>
      <c r="O17" s="122">
        <f t="shared" si="7"/>
        <v>7.909282730354021</v>
      </c>
      <c r="Q17" s="132">
        <v>-0.2872508748453555</v>
      </c>
      <c r="R17" s="122">
        <f t="shared" si="8"/>
        <v>-3.8162743409953475</v>
      </c>
      <c r="T17" s="11"/>
    </row>
    <row r="18" spans="1:20">
      <c r="A18" s="10" t="str">
        <f>name!$D14</f>
        <v>35 Business and public service associate professionals</v>
      </c>
      <c r="B18" s="132">
        <v>27.483441028271098</v>
      </c>
      <c r="C18" s="122">
        <f t="shared" si="0"/>
        <v>5.4362157417430685</v>
      </c>
      <c r="E18" s="132">
        <v>28.718892057032409</v>
      </c>
      <c r="F18" s="122">
        <f t="shared" si="1"/>
        <v>5.787835414582287</v>
      </c>
      <c r="H18" s="132">
        <f t="shared" si="3"/>
        <v>1.235451028761311</v>
      </c>
      <c r="I18" s="122">
        <f t="shared" si="4"/>
        <v>4.4952559888350674</v>
      </c>
      <c r="K18" s="184">
        <f t="shared" si="2"/>
        <v>-0.5092646906865167</v>
      </c>
      <c r="L18" s="122">
        <f t="shared" si="5"/>
        <v>-1.8529873685127596</v>
      </c>
      <c r="N18" s="132">
        <f t="shared" si="6"/>
        <v>2.3868554570855256</v>
      </c>
      <c r="O18" s="122">
        <f t="shared" si="7"/>
        <v>8.6847038354122557</v>
      </c>
      <c r="Q18" s="132">
        <v>-0.64213973763769816</v>
      </c>
      <c r="R18" s="122">
        <f t="shared" si="8"/>
        <v>-2.3364604780644282</v>
      </c>
      <c r="T18" s="11"/>
    </row>
    <row r="19" spans="1:20">
      <c r="A19" s="10" t="str">
        <f>name!$D15</f>
        <v>41 Administrative occupations</v>
      </c>
      <c r="B19" s="132">
        <v>49.13839945665805</v>
      </c>
      <c r="C19" s="122">
        <f t="shared" si="0"/>
        <v>9.7195595113275992</v>
      </c>
      <c r="E19" s="132">
        <v>47.19806700974938</v>
      </c>
      <c r="F19" s="122">
        <f t="shared" si="1"/>
        <v>9.5120188897385738</v>
      </c>
      <c r="H19" s="132">
        <f t="shared" si="3"/>
        <v>-1.9403324469086698</v>
      </c>
      <c r="I19" s="122">
        <f t="shared" si="4"/>
        <v>-3.9487090917971757</v>
      </c>
      <c r="K19" s="184">
        <f t="shared" si="2"/>
        <v>-0.91052833502121611</v>
      </c>
      <c r="L19" s="122">
        <f t="shared" si="5"/>
        <v>-1.8529873685127596</v>
      </c>
      <c r="N19" s="132">
        <f t="shared" si="6"/>
        <v>-0.14705108730632821</v>
      </c>
      <c r="O19" s="122">
        <f t="shared" si="7"/>
        <v>-0.2992590091096331</v>
      </c>
      <c r="Q19" s="132">
        <v>-0.88275302458112537</v>
      </c>
      <c r="R19" s="122">
        <f t="shared" si="8"/>
        <v>-1.7964627141747815</v>
      </c>
      <c r="T19" s="11"/>
    </row>
    <row r="20" spans="1:20">
      <c r="A20" s="10" t="str">
        <f>name!$D16</f>
        <v>42 Secretarial and related occupations</v>
      </c>
      <c r="B20" s="132">
        <v>10.999553279205751</v>
      </c>
      <c r="C20" s="122">
        <f t="shared" si="0"/>
        <v>2.1757080791684795</v>
      </c>
      <c r="E20" s="132">
        <v>9.2803332734652102</v>
      </c>
      <c r="F20" s="122">
        <f t="shared" si="1"/>
        <v>1.8703034042058586</v>
      </c>
      <c r="H20" s="132">
        <f t="shared" si="3"/>
        <v>-1.7192200057405405</v>
      </c>
      <c r="I20" s="122">
        <f t="shared" si="4"/>
        <v>-15.629907525341624</v>
      </c>
      <c r="K20" s="184">
        <f t="shared" si="2"/>
        <v>-0.2038203328565136</v>
      </c>
      <c r="L20" s="122">
        <f t="shared" si="5"/>
        <v>-1.8529873685127596</v>
      </c>
      <c r="N20" s="132">
        <f t="shared" si="6"/>
        <v>-1.6977461314663826</v>
      </c>
      <c r="O20" s="122">
        <f t="shared" si="7"/>
        <v>-15.434682558208152</v>
      </c>
      <c r="Q20" s="132">
        <v>0.18234645858235571</v>
      </c>
      <c r="R20" s="122">
        <f t="shared" si="8"/>
        <v>1.65776240137929</v>
      </c>
      <c r="T20" s="11"/>
    </row>
    <row r="21" spans="1:20">
      <c r="A21" s="10" t="str">
        <f>name!$D17</f>
        <v>51 Skilled agricultural and related trades</v>
      </c>
      <c r="B21" s="132">
        <v>4.3313158907234133</v>
      </c>
      <c r="C21" s="122">
        <f t="shared" si="0"/>
        <v>0.85673288157009675</v>
      </c>
      <c r="E21" s="132">
        <v>3.1931450848658716</v>
      </c>
      <c r="F21" s="122">
        <f t="shared" si="1"/>
        <v>0.6435275486736789</v>
      </c>
      <c r="H21" s="132">
        <f t="shared" si="3"/>
        <v>-1.1381708058575417</v>
      </c>
      <c r="I21" s="122">
        <f t="shared" si="4"/>
        <v>-26.277714084424474</v>
      </c>
      <c r="K21" s="184">
        <f t="shared" si="2"/>
        <v>-8.0258736345490772E-2</v>
      </c>
      <c r="L21" s="122">
        <f t="shared" si="5"/>
        <v>-1.8529873685127596</v>
      </c>
      <c r="N21" s="132">
        <f t="shared" si="6"/>
        <v>-0.10359484699350063</v>
      </c>
      <c r="O21" s="122">
        <f t="shared" si="7"/>
        <v>-2.3917638336048102</v>
      </c>
      <c r="Q21" s="132">
        <v>-0.95431722251855033</v>
      </c>
      <c r="R21" s="122">
        <f t="shared" si="8"/>
        <v>-22.032962882306904</v>
      </c>
      <c r="T21" s="11"/>
    </row>
    <row r="22" spans="1:20">
      <c r="A22" s="10" t="str">
        <f>name!$D18</f>
        <v>52 Skilled metal, electrical and electronic trades</v>
      </c>
      <c r="B22" s="132">
        <v>28.622677836919465</v>
      </c>
      <c r="C22" s="122">
        <f t="shared" si="0"/>
        <v>5.6615564138363759</v>
      </c>
      <c r="E22" s="132">
        <v>23.236826282247673</v>
      </c>
      <c r="F22" s="122">
        <f t="shared" si="1"/>
        <v>4.6830123464305675</v>
      </c>
      <c r="H22" s="132">
        <f t="shared" si="3"/>
        <v>-5.3858515546717918</v>
      </c>
      <c r="I22" s="122">
        <f t="shared" si="4"/>
        <v>-18.816728418487649</v>
      </c>
      <c r="K22" s="184">
        <f t="shared" si="2"/>
        <v>-0.53037460484821886</v>
      </c>
      <c r="L22" s="122">
        <f t="shared" si="5"/>
        <v>-1.8529873685127596</v>
      </c>
      <c r="N22" s="132">
        <f t="shared" si="6"/>
        <v>-4.1123369873547508</v>
      </c>
      <c r="O22" s="122">
        <f t="shared" si="7"/>
        <v>-14.367408286482478</v>
      </c>
      <c r="Q22" s="132">
        <v>-0.74313996246882208</v>
      </c>
      <c r="R22" s="122">
        <f t="shared" si="8"/>
        <v>-2.5963327634924149</v>
      </c>
      <c r="T22" s="11"/>
    </row>
    <row r="23" spans="1:20">
      <c r="A23" s="10" t="str">
        <f>name!$D19</f>
        <v>53 Skilled construction and building trades</v>
      </c>
      <c r="B23" s="132">
        <v>18.67563056886091</v>
      </c>
      <c r="C23" s="122">
        <f t="shared" si="0"/>
        <v>3.6940336830815816</v>
      </c>
      <c r="E23" s="132">
        <v>17.473473402618112</v>
      </c>
      <c r="F23" s="122">
        <f t="shared" si="1"/>
        <v>3.5215003411202326</v>
      </c>
      <c r="H23" s="132">
        <f t="shared" si="3"/>
        <v>-1.2021571662427988</v>
      </c>
      <c r="I23" s="122">
        <f t="shared" si="4"/>
        <v>-6.4370365531176921</v>
      </c>
      <c r="K23" s="184">
        <f t="shared" si="2"/>
        <v>-0.34605707543110031</v>
      </c>
      <c r="L23" s="122">
        <f t="shared" si="5"/>
        <v>-1.8529873685127596</v>
      </c>
      <c r="N23" s="132">
        <f t="shared" si="6"/>
        <v>-2.4986513412072799</v>
      </c>
      <c r="O23" s="122">
        <f t="shared" si="7"/>
        <v>-13.379207368630667</v>
      </c>
      <c r="Q23" s="132">
        <v>1.6425512503955815</v>
      </c>
      <c r="R23" s="122">
        <f t="shared" si="8"/>
        <v>8.7951581840257305</v>
      </c>
      <c r="T23" s="11"/>
    </row>
    <row r="24" spans="1:20">
      <c r="A24" s="10" t="str">
        <f>name!$D20</f>
        <v>54 Textiles, printing and other skilled trades</v>
      </c>
      <c r="B24" s="132">
        <v>9.6691034984265638</v>
      </c>
      <c r="C24" s="122">
        <f t="shared" si="0"/>
        <v>1.9125455430642653</v>
      </c>
      <c r="E24" s="132">
        <v>8.3294023293213026</v>
      </c>
      <c r="F24" s="122">
        <f t="shared" si="1"/>
        <v>1.678658413709418</v>
      </c>
      <c r="H24" s="132">
        <f t="shared" si="3"/>
        <v>-1.3397011691052612</v>
      </c>
      <c r="I24" s="122">
        <f t="shared" si="4"/>
        <v>-13.855484837071696</v>
      </c>
      <c r="K24" s="184">
        <f t="shared" si="2"/>
        <v>-0.17916726647426956</v>
      </c>
      <c r="L24" s="122">
        <f t="shared" si="5"/>
        <v>-1.8529873685127596</v>
      </c>
      <c r="N24" s="132">
        <f t="shared" si="6"/>
        <v>-1.364802815611895</v>
      </c>
      <c r="O24" s="122">
        <f t="shared" si="7"/>
        <v>-14.115091599071071</v>
      </c>
      <c r="Q24" s="132">
        <v>0.20426891298090336</v>
      </c>
      <c r="R24" s="122">
        <f t="shared" si="8"/>
        <v>2.1125941305121376</v>
      </c>
      <c r="T24" s="11"/>
    </row>
    <row r="25" spans="1:20">
      <c r="A25" s="10" t="str">
        <f>name!$D21</f>
        <v>61 Caring personal service occupations</v>
      </c>
      <c r="B25" s="132">
        <v>38.549226321705426</v>
      </c>
      <c r="C25" s="122">
        <f t="shared" si="0"/>
        <v>7.6250244918932619</v>
      </c>
      <c r="E25" s="132">
        <v>39.709013980070296</v>
      </c>
      <c r="F25" s="122">
        <f t="shared" si="1"/>
        <v>8.0027194968238895</v>
      </c>
      <c r="H25" s="132">
        <f t="shared" si="3"/>
        <v>1.1597876583648699</v>
      </c>
      <c r="I25" s="122">
        <f t="shared" si="4"/>
        <v>3.0085886774641857</v>
      </c>
      <c r="K25" s="184">
        <f t="shared" si="2"/>
        <v>-0.7143122944005974</v>
      </c>
      <c r="L25" s="122">
        <f t="shared" si="5"/>
        <v>-1.8529873685127596</v>
      </c>
      <c r="N25" s="132">
        <f t="shared" si="6"/>
        <v>-2.0921676141256786</v>
      </c>
      <c r="O25" s="122">
        <f t="shared" si="7"/>
        <v>-5.4272622663445471</v>
      </c>
      <c r="Q25" s="132">
        <v>3.9662675668911458</v>
      </c>
      <c r="R25" s="122">
        <f t="shared" si="8"/>
        <v>10.288838312321484</v>
      </c>
      <c r="T25" s="11"/>
    </row>
    <row r="26" spans="1:20">
      <c r="A26" s="10" t="str">
        <f>name!$D22</f>
        <v>62 Leisure, travel and related personal service occupations</v>
      </c>
      <c r="B26" s="132">
        <v>11.482295485656088</v>
      </c>
      <c r="C26" s="122">
        <f t="shared" si="0"/>
        <v>2.2711943313888474</v>
      </c>
      <c r="E26" s="132">
        <v>9.1820078898329758</v>
      </c>
      <c r="F26" s="122">
        <f t="shared" si="1"/>
        <v>1.8504874887308156</v>
      </c>
      <c r="H26" s="132">
        <f t="shared" si="3"/>
        <v>-2.3002875958231126</v>
      </c>
      <c r="I26" s="122">
        <f t="shared" si="4"/>
        <v>-20.033342624710173</v>
      </c>
      <c r="K26" s="184">
        <f t="shared" si="2"/>
        <v>-0.21276548496451814</v>
      </c>
      <c r="L26" s="122">
        <f t="shared" si="5"/>
        <v>-1.8529873685127596</v>
      </c>
      <c r="N26" s="132">
        <f t="shared" si="6"/>
        <v>-1.2199026643156883</v>
      </c>
      <c r="O26" s="122">
        <f t="shared" si="7"/>
        <v>-10.624205463442522</v>
      </c>
      <c r="Q26" s="132">
        <v>-0.86761944654290613</v>
      </c>
      <c r="R26" s="122">
        <f t="shared" si="8"/>
        <v>-7.5561497927548862</v>
      </c>
      <c r="T26" s="11"/>
    </row>
    <row r="27" spans="1:20">
      <c r="A27" s="10" t="str">
        <f>name!$D23</f>
        <v>63 Community and civil enforcement occupations</v>
      </c>
      <c r="B27" s="132">
        <v>0.44667082132503066</v>
      </c>
      <c r="C27" s="122">
        <f t="shared" si="0"/>
        <v>8.8351343915292396E-2</v>
      </c>
      <c r="E27" s="132">
        <v>0.44693455623107448</v>
      </c>
      <c r="F27" s="122">
        <f t="shared" si="1"/>
        <v>9.0072543446933023E-2</v>
      </c>
      <c r="H27" s="132">
        <f t="shared" si="3"/>
        <v>2.63734906043811E-4</v>
      </c>
      <c r="I27" s="122">
        <f t="shared" si="4"/>
        <v>5.9044579017153431E-2</v>
      </c>
      <c r="K27" s="184">
        <f t="shared" si="2"/>
        <v>-8.2767538979850157E-3</v>
      </c>
      <c r="L27" s="122">
        <f t="shared" si="5"/>
        <v>-1.8529873685127596</v>
      </c>
      <c r="N27" s="132">
        <f t="shared" si="6"/>
        <v>2.1785244288998338E-2</v>
      </c>
      <c r="O27" s="122">
        <f t="shared" si="7"/>
        <v>4.8772481319404983</v>
      </c>
      <c r="Q27" s="132">
        <v>-1.3244755484969511E-2</v>
      </c>
      <c r="R27" s="122">
        <f t="shared" si="8"/>
        <v>-2.9652161844105884</v>
      </c>
      <c r="T27" s="150"/>
    </row>
    <row r="28" spans="1:20">
      <c r="A28" s="10" t="str">
        <f>name!$D24</f>
        <v>71 Sales occupations</v>
      </c>
      <c r="B28" s="132">
        <v>34.223800198352485</v>
      </c>
      <c r="C28" s="122">
        <f t="shared" si="0"/>
        <v>6.769456604403115</v>
      </c>
      <c r="E28" s="132">
        <v>30.25093913476638</v>
      </c>
      <c r="F28" s="122">
        <f t="shared" si="1"/>
        <v>6.096595108922398</v>
      </c>
      <c r="H28" s="132">
        <f t="shared" si="3"/>
        <v>-3.9728610635861052</v>
      </c>
      <c r="I28" s="122">
        <f t="shared" si="4"/>
        <v>-11.608474338210273</v>
      </c>
      <c r="K28" s="184">
        <f t="shared" si="2"/>
        <v>-0.63416269470051634</v>
      </c>
      <c r="L28" s="122">
        <f t="shared" si="5"/>
        <v>-1.8529873685127596</v>
      </c>
      <c r="N28" s="132">
        <f>H28-(K28+Q28)</f>
        <v>-2.5257570086467336</v>
      </c>
      <c r="O28" s="122">
        <f t="shared" si="7"/>
        <v>-7.3801184965085271</v>
      </c>
      <c r="Q28" s="132">
        <v>-0.81294136023885522</v>
      </c>
      <c r="R28" s="122">
        <f t="shared" si="8"/>
        <v>-2.3753684731889879</v>
      </c>
      <c r="T28" s="11"/>
    </row>
    <row r="29" spans="1:20">
      <c r="A29" s="10" t="str">
        <f>name!$D25</f>
        <v>72 Customer service occupations</v>
      </c>
      <c r="B29" s="132">
        <v>9.0886906437377402</v>
      </c>
      <c r="C29" s="122">
        <f t="shared" si="0"/>
        <v>1.7977400682285729</v>
      </c>
      <c r="E29" s="132">
        <v>9.088846806026746</v>
      </c>
      <c r="F29" s="122">
        <f t="shared" si="1"/>
        <v>1.8317123556566086</v>
      </c>
      <c r="H29" s="132">
        <f t="shared" si="3"/>
        <v>1.5616228900583451E-4</v>
      </c>
      <c r="I29" s="122">
        <f t="shared" si="4"/>
        <v>1.7182044711017141E-3</v>
      </c>
      <c r="K29" s="184">
        <f t="shared" si="2"/>
        <v>-0.16841228959166135</v>
      </c>
      <c r="L29" s="122">
        <f t="shared" si="5"/>
        <v>-1.8529873685127596</v>
      </c>
      <c r="N29" s="132">
        <f t="shared" si="6"/>
        <v>0.73225400713309097</v>
      </c>
      <c r="O29" s="122">
        <f t="shared" si="7"/>
        <v>8.0567601631113526</v>
      </c>
      <c r="Q29" s="132">
        <v>-0.56368555525242381</v>
      </c>
      <c r="R29" s="122">
        <f t="shared" si="8"/>
        <v>-6.2020545901274859</v>
      </c>
      <c r="T29" s="11"/>
    </row>
    <row r="30" spans="1:20">
      <c r="A30" s="10" t="str">
        <f>name!$D26</f>
        <v>81 Process, plant and machine operatives</v>
      </c>
      <c r="B30" s="132">
        <v>23.01767694669358</v>
      </c>
      <c r="C30" s="122">
        <f t="shared" si="0"/>
        <v>4.5528890515295011</v>
      </c>
      <c r="E30" s="132">
        <v>18.382917992462492</v>
      </c>
      <c r="F30" s="122">
        <f t="shared" si="1"/>
        <v>3.7047844174783462</v>
      </c>
      <c r="H30" s="132">
        <f t="shared" si="3"/>
        <v>-4.6347589542310885</v>
      </c>
      <c r="I30" s="122">
        <f t="shared" si="4"/>
        <v>-20.135650374121951</v>
      </c>
      <c r="K30" s="184">
        <f t="shared" si="2"/>
        <v>-0.42651464634730546</v>
      </c>
      <c r="L30" s="122">
        <f t="shared" si="5"/>
        <v>-1.8529873685127596</v>
      </c>
      <c r="N30" s="132">
        <f t="shared" si="6"/>
        <v>-3.4378702092254096</v>
      </c>
      <c r="O30" s="122">
        <f t="shared" si="7"/>
        <v>-14.935782690786482</v>
      </c>
      <c r="Q30" s="132">
        <v>-0.77037409865837325</v>
      </c>
      <c r="R30" s="122">
        <f t="shared" si="8"/>
        <v>-3.3468803148227138</v>
      </c>
      <c r="T30" s="11"/>
    </row>
    <row r="31" spans="1:20">
      <c r="A31" s="10" t="str">
        <f>name!$D27</f>
        <v>82 Transport and mobile machine drivers and operatives</v>
      </c>
      <c r="B31" s="132">
        <v>24.123007113083549</v>
      </c>
      <c r="C31" s="122">
        <f t="shared" si="0"/>
        <v>4.7715230007562957</v>
      </c>
      <c r="E31" s="132">
        <v>21.975456313535553</v>
      </c>
      <c r="F31" s="122">
        <f t="shared" si="1"/>
        <v>4.428803313529702</v>
      </c>
      <c r="H31" s="132">
        <f t="shared" si="3"/>
        <v>-2.1475507995479965</v>
      </c>
      <c r="I31" s="122">
        <f t="shared" si="4"/>
        <v>-8.9025003785006334</v>
      </c>
      <c r="K31" s="184">
        <f t="shared" si="2"/>
        <v>-0.44699627471087267</v>
      </c>
      <c r="L31" s="122">
        <f t="shared" si="5"/>
        <v>-1.8529873685127596</v>
      </c>
      <c r="N31" s="132">
        <f t="shared" si="6"/>
        <v>-1.2299465229358377</v>
      </c>
      <c r="O31" s="122">
        <f t="shared" si="7"/>
        <v>-5.0986451115738136</v>
      </c>
      <c r="Q31" s="132">
        <v>-0.47060800190128621</v>
      </c>
      <c r="R31" s="122">
        <f t="shared" si="8"/>
        <v>-1.9508678984140559</v>
      </c>
      <c r="T31" s="11"/>
    </row>
    <row r="32" spans="1:20">
      <c r="A32" s="10" t="str">
        <f>name!$D28</f>
        <v>91 Elementary trades and related occupations</v>
      </c>
      <c r="B32" s="132">
        <v>11.487443580203085</v>
      </c>
      <c r="C32" s="122">
        <f t="shared" si="0"/>
        <v>2.2722126228243189</v>
      </c>
      <c r="E32" s="132">
        <v>8.59789452449556</v>
      </c>
      <c r="F32" s="122">
        <f t="shared" si="1"/>
        <v>1.7327687405521968</v>
      </c>
      <c r="H32" s="132">
        <f t="shared" si="3"/>
        <v>-2.8895490557075245</v>
      </c>
      <c r="I32" s="122">
        <f t="shared" si="4"/>
        <v>-25.153978215720997</v>
      </c>
      <c r="K32" s="184">
        <f t="shared" si="2"/>
        <v>-0.21286087850619306</v>
      </c>
      <c r="L32" s="122">
        <f t="shared" si="5"/>
        <v>-1.8529873685127596</v>
      </c>
      <c r="N32" s="132">
        <f>H32-(K32+Q32)</f>
        <v>-2.3422718208236146</v>
      </c>
      <c r="O32" s="122">
        <f t="shared" si="7"/>
        <v>-20.389843958495472</v>
      </c>
      <c r="Q32" s="132">
        <v>-0.33441635637771688</v>
      </c>
      <c r="R32" s="122">
        <f t="shared" si="8"/>
        <v>-2.9111468887127696</v>
      </c>
      <c r="T32" s="11"/>
    </row>
    <row r="33" spans="1:20">
      <c r="A33" s="10" t="str">
        <f>name!$D29</f>
        <v>92 Elementary administration and service occupations</v>
      </c>
      <c r="B33" s="132">
        <v>45.472494733851811</v>
      </c>
      <c r="C33" s="122">
        <f t="shared" si="0"/>
        <v>8.9944447434442854</v>
      </c>
      <c r="E33" s="132">
        <v>37.688938677596269</v>
      </c>
      <c r="F33" s="122">
        <f t="shared" si="1"/>
        <v>7.5956054844670229</v>
      </c>
      <c r="H33" s="132">
        <f t="shared" ref="H33" si="9">E33-B33</f>
        <v>-7.7835560562555415</v>
      </c>
      <c r="I33" s="122">
        <f>IF(B33&lt;&gt;0,((E33/B33)-1)*100,0)</f>
        <v>-17.117064066557809</v>
      </c>
      <c r="K33" s="184">
        <f t="shared" si="2"/>
        <v>-0.84259958356590381</v>
      </c>
      <c r="L33" s="122">
        <f t="shared" ref="L33" si="10">IF(B33&lt;&gt;0,K33/B33*100,0)</f>
        <v>-1.8529873685127596</v>
      </c>
      <c r="N33" s="132">
        <f>H33-(K33+Q33)</f>
        <v>-6.1307316449970122</v>
      </c>
      <c r="O33" s="122">
        <f t="shared" ref="O33" si="11">IF(B33&lt;&gt;0,N33/B33*100,0)</f>
        <v>-13.482285678144274</v>
      </c>
      <c r="Q33" s="132">
        <v>-0.8102248276926256</v>
      </c>
      <c r="R33" s="122">
        <f t="shared" ref="R33" si="12">IF(B33&lt;&gt;0,Q33/B33*100,0)</f>
        <v>-1.7817910199007778</v>
      </c>
      <c r="T33" s="11"/>
    </row>
    <row r="34" spans="1:20">
      <c r="A34" s="10"/>
      <c r="B34" s="132"/>
      <c r="C34" s="122"/>
      <c r="E34" s="132"/>
      <c r="F34" s="122"/>
      <c r="H34" s="132"/>
      <c r="I34" s="122"/>
      <c r="K34" s="184"/>
      <c r="L34" s="122"/>
      <c r="N34" s="132"/>
      <c r="O34" s="122"/>
      <c r="Q34" s="132"/>
      <c r="R34" s="122"/>
      <c r="T34" s="11"/>
    </row>
    <row r="35" spans="1:20">
      <c r="A35" s="130" t="str">
        <f>name!$D$3</f>
        <v>All occupations</v>
      </c>
      <c r="B35" s="133">
        <f>SUM(B8:B33)</f>
        <v>505.56200000000013</v>
      </c>
      <c r="C35" s="128">
        <f>B35/B$35*100</f>
        <v>100</v>
      </c>
      <c r="D35" s="126"/>
      <c r="E35" s="133">
        <f>SUM(E8:E33)</f>
        <v>496.19399999999962</v>
      </c>
      <c r="F35" s="128">
        <f t="shared" ref="F35" si="13">E35/E$35*100</f>
        <v>100</v>
      </c>
      <c r="G35" s="126"/>
      <c r="H35" s="133">
        <f>E35-B35</f>
        <v>-9.3680000000005066</v>
      </c>
      <c r="I35" s="128">
        <f>IF(B35&lt;&gt;0,((E35/B35)-1)*100,0)</f>
        <v>-1.8529873685127596</v>
      </c>
      <c r="J35" s="126"/>
      <c r="K35" s="133"/>
      <c r="L35" s="128"/>
      <c r="M35" s="126"/>
      <c r="N35" s="129"/>
      <c r="O35" s="128"/>
      <c r="P35" s="126"/>
      <c r="Q35" s="129"/>
      <c r="R35" s="128"/>
    </row>
    <row r="37" spans="1:20" ht="15.75">
      <c r="A37" s="252" t="str">
        <f>CONCATENATE("ShiftShare Table 1.1  Shift-share by occupation, ",I40,", ",Info!B5)</f>
        <v>ShiftShare Table 1.1  Shift-share by occupation, 2020-2035, Black Country</v>
      </c>
    </row>
    <row r="38" spans="1:20" ht="15.75">
      <c r="A38" s="252"/>
    </row>
    <row r="39" spans="1:20">
      <c r="A39" s="127"/>
      <c r="B39" s="251"/>
      <c r="C39" s="251"/>
      <c r="D39" s="251"/>
      <c r="E39" s="251"/>
      <c r="F39" s="251"/>
      <c r="G39" s="251"/>
      <c r="H39" s="251"/>
      <c r="I39" s="251"/>
      <c r="J39" s="251"/>
      <c r="K39" s="352" t="str">
        <f>K3</f>
        <v>Components of change</v>
      </c>
      <c r="L39" s="352"/>
      <c r="M39" s="352"/>
      <c r="N39" s="352"/>
      <c r="O39" s="352"/>
      <c r="P39" s="352"/>
      <c r="Q39" s="352"/>
      <c r="R39" s="352"/>
    </row>
    <row r="40" spans="1:20">
      <c r="B40" s="246" t="str">
        <f>B4</f>
        <v>Base year</v>
      </c>
      <c r="C40" s="247">
        <v>2020</v>
      </c>
      <c r="D40" s="118"/>
      <c r="E40" s="246" t="str">
        <f>E4</f>
        <v>Target year</v>
      </c>
      <c r="F40" s="247">
        <v>2035</v>
      </c>
      <c r="G40" s="118"/>
      <c r="H40" s="246" t="str">
        <f>H4</f>
        <v>Change</v>
      </c>
      <c r="I40" s="246" t="str">
        <f>CONCATENATE(C40,"-",F40)</f>
        <v>2020-2035</v>
      </c>
      <c r="J40" s="118"/>
      <c r="K40" s="351" t="str">
        <f>K4</f>
        <v>Scale effect</v>
      </c>
      <c r="L40" s="351"/>
      <c r="M40" s="118"/>
      <c r="N40" s="351" t="str">
        <f>N4</f>
        <v>Occupation effect</v>
      </c>
      <c r="O40" s="351"/>
      <c r="P40" s="118"/>
      <c r="Q40" s="351" t="str">
        <f>Q4</f>
        <v>Industry mix effect</v>
      </c>
      <c r="R40" s="351"/>
    </row>
    <row r="41" spans="1:20">
      <c r="A41" s="124" t="str">
        <f>A5</f>
        <v>SOC2020 Sub-Major Groups</v>
      </c>
      <c r="B41" s="248" t="str">
        <f>B5</f>
        <v>000s</v>
      </c>
      <c r="C41" s="248" t="str">
        <f>C5</f>
        <v>% share</v>
      </c>
      <c r="D41" s="118"/>
      <c r="E41" s="248" t="str">
        <f>E5</f>
        <v>000s</v>
      </c>
      <c r="F41" s="248" t="str">
        <f>F5</f>
        <v>% share</v>
      </c>
      <c r="G41" s="118"/>
      <c r="H41" s="248" t="str">
        <f>H5</f>
        <v>000s</v>
      </c>
      <c r="I41" s="248" t="str">
        <f>I5</f>
        <v xml:space="preserve">%   </v>
      </c>
      <c r="J41" s="118"/>
      <c r="K41" s="248" t="str">
        <f>H41</f>
        <v>000s</v>
      </c>
      <c r="L41" s="248" t="str">
        <f>I41</f>
        <v xml:space="preserve">%   </v>
      </c>
      <c r="M41" s="118"/>
      <c r="N41" s="248" t="str">
        <f>K41</f>
        <v>000s</v>
      </c>
      <c r="O41" s="248" t="str">
        <f>L41</f>
        <v xml:space="preserve">%   </v>
      </c>
      <c r="P41" s="118"/>
      <c r="Q41" s="248" t="str">
        <f>Q5</f>
        <v>000s</v>
      </c>
      <c r="R41" s="248" t="str">
        <f>O41</f>
        <v xml:space="preserve">%   </v>
      </c>
    </row>
    <row r="42" spans="1:20">
      <c r="A42" s="249"/>
      <c r="B42" s="248"/>
      <c r="C42" s="248"/>
      <c r="D42" s="250"/>
      <c r="E42" s="248"/>
      <c r="F42" s="248"/>
      <c r="G42" s="250"/>
      <c r="H42" s="248"/>
      <c r="I42" s="248"/>
      <c r="J42" s="250"/>
      <c r="K42" s="248"/>
      <c r="L42" s="248"/>
      <c r="M42" s="250"/>
      <c r="N42" s="248"/>
      <c r="O42" s="248"/>
      <c r="P42" s="250"/>
      <c r="Q42" s="248"/>
      <c r="R42" s="248"/>
    </row>
    <row r="43" spans="1:20">
      <c r="A43" s="124"/>
      <c r="B43" s="246"/>
      <c r="C43" s="246"/>
      <c r="D43" s="251"/>
      <c r="E43" s="246"/>
      <c r="F43" s="246"/>
      <c r="G43" s="251"/>
      <c r="H43" s="246"/>
      <c r="I43" s="246"/>
      <c r="J43" s="251"/>
      <c r="K43" s="246"/>
      <c r="L43" s="246"/>
      <c r="M43" s="251"/>
      <c r="N43" s="246"/>
      <c r="O43" s="246"/>
      <c r="P43" s="251"/>
      <c r="Q43" s="246"/>
      <c r="R43" s="125"/>
    </row>
    <row r="44" spans="1:20">
      <c r="A44" s="117" t="str">
        <f t="shared" ref="A44:A68" si="14">A8</f>
        <v>11 Corporate managers and directors</v>
      </c>
      <c r="B44" s="132">
        <v>34.557349518918279</v>
      </c>
      <c r="C44" s="122">
        <f t="shared" ref="C44:C68" si="15">B44/B$71*100</f>
        <v>6.9644835525859454</v>
      </c>
      <c r="E44" s="132">
        <v>33.924972676339749</v>
      </c>
      <c r="F44" s="122">
        <f t="shared" ref="F44:F68" si="16">E44/E$71*100</f>
        <v>6.4997342006689927</v>
      </c>
      <c r="H44" s="132">
        <f>E44-B44</f>
        <v>-0.63237684257853033</v>
      </c>
      <c r="I44" s="122">
        <f>IF(B44&gt;0,((E44/B44)-1)*100,0)</f>
        <v>-1.8299344463102996</v>
      </c>
      <c r="K44" s="132">
        <f>(($E$71/$B$71)-1)*B44</f>
        <v>1.7933545147908878</v>
      </c>
      <c r="L44" s="122">
        <f>IF(B44&gt;0,K44/B44*100,0)</f>
        <v>5.189502492976561</v>
      </c>
      <c r="N44" s="132">
        <f>H44-(K44+Q44)</f>
        <v>-1.7328586049270061</v>
      </c>
      <c r="O44" s="122">
        <f>IF(B44&gt;0,N44/B44*100,0)</f>
        <v>-5.0144430318024238</v>
      </c>
      <c r="Q44" s="132">
        <v>-0.69287275244241209</v>
      </c>
      <c r="R44" s="122">
        <f>IF(B44&gt;0,Q44/B44*100,0)</f>
        <v>-2.0049939074844318</v>
      </c>
      <c r="T44" s="132"/>
    </row>
    <row r="45" spans="1:20">
      <c r="A45" s="117" t="str">
        <f t="shared" si="14"/>
        <v>12 Other managers and proprietors</v>
      </c>
      <c r="B45" s="132">
        <v>13.243017973457505</v>
      </c>
      <c r="C45" s="122">
        <f t="shared" si="15"/>
        <v>2.6689194092345967</v>
      </c>
      <c r="E45" s="132">
        <v>15.301206610194454</v>
      </c>
      <c r="F45" s="122">
        <f t="shared" si="16"/>
        <v>2.9315801331549864</v>
      </c>
      <c r="H45" s="132">
        <f t="shared" ref="H45:H71" si="17">E45-B45</f>
        <v>2.0581886367369489</v>
      </c>
      <c r="I45" s="122">
        <f t="shared" ref="I45:I71" si="18">IF(B45&gt;0,((E45/B45)-1)*100,0)</f>
        <v>15.541688766579487</v>
      </c>
      <c r="K45" s="132">
        <f t="shared" ref="K45:K68" si="19">(($E$71/$B$71)-1)*B45</f>
        <v>0.68724674787791129</v>
      </c>
      <c r="L45" s="122">
        <f t="shared" ref="L45:L68" si="20">IF(B45&gt;0,K45/B45*100,0)</f>
        <v>5.189502492976561</v>
      </c>
      <c r="N45" s="132">
        <f t="shared" ref="N45:N68" si="21">H45-(K45+Q45)</f>
        <v>1.1316813548561817</v>
      </c>
      <c r="O45" s="122">
        <f t="shared" ref="O45:O68" si="22">IF(B45&gt;0,N45/B45*100,0)</f>
        <v>8.545494366347377</v>
      </c>
      <c r="Q45" s="132">
        <v>0.23926053400285574</v>
      </c>
      <c r="R45" s="122">
        <f>IF(B45&gt;0,Q45/B45*100,0)</f>
        <v>1.8066919072555581</v>
      </c>
      <c r="T45" s="132"/>
    </row>
    <row r="46" spans="1:20">
      <c r="A46" s="117" t="str">
        <f t="shared" si="14"/>
        <v>21 Science, research, engineering and technology professionals</v>
      </c>
      <c r="B46" s="132">
        <v>26.67415223973487</v>
      </c>
      <c r="C46" s="122">
        <f t="shared" si="15"/>
        <v>5.3757506619860154</v>
      </c>
      <c r="E46" s="132">
        <v>36.460147888250177</v>
      </c>
      <c r="F46" s="122">
        <f t="shared" si="16"/>
        <v>6.9854520577399475</v>
      </c>
      <c r="H46" s="132">
        <f t="shared" si="17"/>
        <v>9.785995648515307</v>
      </c>
      <c r="I46" s="122">
        <f t="shared" si="18"/>
        <v>36.687185259210239</v>
      </c>
      <c r="K46" s="132">
        <f t="shared" si="19"/>
        <v>1.3842557954614043</v>
      </c>
      <c r="L46" s="122">
        <f t="shared" si="20"/>
        <v>5.189502492976561</v>
      </c>
      <c r="N46" s="132">
        <f t="shared" si="21"/>
        <v>9.3131468732021467</v>
      </c>
      <c r="O46" s="122">
        <f t="shared" si="22"/>
        <v>34.91449996048577</v>
      </c>
      <c r="Q46" s="132">
        <v>-0.91140702014824426</v>
      </c>
      <c r="R46" s="122">
        <f t="shared" ref="R46:R68" si="23">IF(B46&gt;0,Q46/B46*100,0)</f>
        <v>-3.4168171942521059</v>
      </c>
      <c r="T46" s="132"/>
    </row>
    <row r="47" spans="1:20">
      <c r="A47" s="117" t="str">
        <f t="shared" si="14"/>
        <v>22 Health professionals</v>
      </c>
      <c r="B47" s="132">
        <v>26.885303796114776</v>
      </c>
      <c r="C47" s="122">
        <f t="shared" si="15"/>
        <v>5.4183048960920122</v>
      </c>
      <c r="E47" s="132">
        <v>28.579623063913772</v>
      </c>
      <c r="F47" s="122">
        <f t="shared" si="16"/>
        <v>5.4756109973318567</v>
      </c>
      <c r="H47" s="132">
        <f t="shared" si="17"/>
        <v>1.6943192677989956</v>
      </c>
      <c r="I47" s="122">
        <f t="shared" si="18"/>
        <v>6.3020276082721649</v>
      </c>
      <c r="K47" s="132">
        <f t="shared" si="19"/>
        <v>1.3952135107436983</v>
      </c>
      <c r="L47" s="122">
        <f t="shared" si="20"/>
        <v>5.189502492976561</v>
      </c>
      <c r="N47" s="132">
        <f t="shared" si="21"/>
        <v>-1.0976121040494418</v>
      </c>
      <c r="O47" s="122">
        <f t="shared" si="22"/>
        <v>-4.0825728151454213</v>
      </c>
      <c r="Q47" s="132">
        <v>1.3967178611047391</v>
      </c>
      <c r="R47" s="122">
        <f t="shared" si="23"/>
        <v>5.1950979304410172</v>
      </c>
      <c r="T47" s="132"/>
    </row>
    <row r="48" spans="1:20">
      <c r="A48" s="117" t="str">
        <f t="shared" si="14"/>
        <v>23 Teaching and other educational professionals</v>
      </c>
      <c r="B48" s="132">
        <v>22.026617843508607</v>
      </c>
      <c r="C48" s="122">
        <f t="shared" si="15"/>
        <v>4.4391141052710479</v>
      </c>
      <c r="E48" s="132">
        <v>24.165356288680911</v>
      </c>
      <c r="F48" s="122">
        <f t="shared" si="16"/>
        <v>4.6298752909662575</v>
      </c>
      <c r="H48" s="132">
        <f t="shared" si="17"/>
        <v>2.1387384451723044</v>
      </c>
      <c r="I48" s="122">
        <f t="shared" si="18"/>
        <v>9.7097904924273504</v>
      </c>
      <c r="K48" s="132">
        <f t="shared" si="19"/>
        <v>1.1430718821072992</v>
      </c>
      <c r="L48" s="122">
        <f t="shared" si="20"/>
        <v>5.189502492976561</v>
      </c>
      <c r="N48" s="132">
        <f t="shared" si="21"/>
        <v>0.25977544006189124</v>
      </c>
      <c r="O48" s="122">
        <f t="shared" si="22"/>
        <v>1.1793705320876071</v>
      </c>
      <c r="Q48" s="132">
        <v>0.7358911230031141</v>
      </c>
      <c r="R48" s="122">
        <f t="shared" si="23"/>
        <v>3.3409174673631803</v>
      </c>
      <c r="T48" s="132"/>
    </row>
    <row r="49" spans="1:20">
      <c r="A49" s="117" t="str">
        <f t="shared" si="14"/>
        <v>24 Business, media and public service professionals</v>
      </c>
      <c r="B49" s="132">
        <v>27.957759360330201</v>
      </c>
      <c r="C49" s="122">
        <f t="shared" si="15"/>
        <v>5.6344412387756044</v>
      </c>
      <c r="E49" s="132">
        <v>32.53409025770577</v>
      </c>
      <c r="F49" s="122">
        <f t="shared" si="16"/>
        <v>6.2332530420324375</v>
      </c>
      <c r="H49" s="132">
        <f t="shared" si="17"/>
        <v>4.5763308973755699</v>
      </c>
      <c r="I49" s="122">
        <f t="shared" si="18"/>
        <v>16.368732695614408</v>
      </c>
      <c r="K49" s="132">
        <f t="shared" si="19"/>
        <v>1.4508686189847235</v>
      </c>
      <c r="L49" s="122">
        <f t="shared" si="20"/>
        <v>5.189502492976561</v>
      </c>
      <c r="N49" s="132">
        <f t="shared" si="21"/>
        <v>3.2514205690997984</v>
      </c>
      <c r="O49" s="122">
        <f t="shared" si="22"/>
        <v>11.62976090892785</v>
      </c>
      <c r="Q49" s="132">
        <v>-0.12595829070895193</v>
      </c>
      <c r="R49" s="122">
        <f t="shared" si="23"/>
        <v>-0.4505307062899917</v>
      </c>
      <c r="T49" s="132"/>
    </row>
    <row r="50" spans="1:20">
      <c r="A50" s="117" t="str">
        <f t="shared" si="14"/>
        <v>31 Science, engineering and technology associate professionals</v>
      </c>
      <c r="B50" s="132">
        <v>8.7119007645620972</v>
      </c>
      <c r="C50" s="122">
        <f t="shared" si="15"/>
        <v>1.7557448829615236</v>
      </c>
      <c r="E50" s="132">
        <v>8.4283160725445487</v>
      </c>
      <c r="F50" s="122">
        <f t="shared" si="16"/>
        <v>1.6147931717855848</v>
      </c>
      <c r="H50" s="132">
        <f t="shared" si="17"/>
        <v>-0.28358469201754843</v>
      </c>
      <c r="I50" s="122">
        <f t="shared" si="18"/>
        <v>-3.2551414402136269</v>
      </c>
      <c r="K50" s="132">
        <f t="shared" si="19"/>
        <v>0.4521043073625941</v>
      </c>
      <c r="L50" s="122">
        <f t="shared" si="20"/>
        <v>5.189502492976561</v>
      </c>
      <c r="N50" s="132">
        <f t="shared" si="21"/>
        <v>-0.49389053238628733</v>
      </c>
      <c r="O50" s="122">
        <f t="shared" si="22"/>
        <v>-5.669147821280454</v>
      </c>
      <c r="Q50" s="132">
        <v>-0.24179846699385521</v>
      </c>
      <c r="R50" s="122">
        <f t="shared" si="23"/>
        <v>-2.7754961119097317</v>
      </c>
      <c r="T50" s="132"/>
    </row>
    <row r="51" spans="1:20">
      <c r="A51" s="117" t="str">
        <f t="shared" si="14"/>
        <v>32 Health and social care associate professionals</v>
      </c>
      <c r="B51" s="132">
        <v>11.001883705458065</v>
      </c>
      <c r="C51" s="122">
        <f t="shared" si="15"/>
        <v>2.2172544822101985</v>
      </c>
      <c r="E51" s="132">
        <v>21.055821572998454</v>
      </c>
      <c r="F51" s="122">
        <f t="shared" si="16"/>
        <v>4.0341150723063137</v>
      </c>
      <c r="H51" s="132">
        <f t="shared" si="17"/>
        <v>10.053937867540389</v>
      </c>
      <c r="I51" s="122">
        <f t="shared" si="18"/>
        <v>91.383786056133303</v>
      </c>
      <c r="K51" s="132">
        <f t="shared" si="19"/>
        <v>0.57094302916912831</v>
      </c>
      <c r="L51" s="122">
        <f t="shared" si="20"/>
        <v>5.189502492976561</v>
      </c>
      <c r="N51" s="132">
        <f t="shared" si="21"/>
        <v>8.8631992418973589</v>
      </c>
      <c r="O51" s="122">
        <f t="shared" si="22"/>
        <v>80.560742861700135</v>
      </c>
      <c r="Q51" s="132">
        <v>0.61979559647390225</v>
      </c>
      <c r="R51" s="122">
        <f t="shared" si="23"/>
        <v>5.6335407014566057</v>
      </c>
      <c r="T51" s="132"/>
    </row>
    <row r="52" spans="1:20">
      <c r="A52" s="117" t="str">
        <f t="shared" si="14"/>
        <v>33 Protective service occupations</v>
      </c>
      <c r="B52" s="132">
        <v>4.6873216411379666</v>
      </c>
      <c r="C52" s="122">
        <f t="shared" si="15"/>
        <v>0.9446550424104222</v>
      </c>
      <c r="E52" s="132">
        <v>4.4519253372123764</v>
      </c>
      <c r="F52" s="122">
        <f t="shared" si="16"/>
        <v>0.85295076429892458</v>
      </c>
      <c r="H52" s="132">
        <f t="shared" si="17"/>
        <v>-0.23539630392559019</v>
      </c>
      <c r="I52" s="122">
        <f t="shared" si="18"/>
        <v>-5.0219789028269401</v>
      </c>
      <c r="K52" s="132">
        <f t="shared" si="19"/>
        <v>0.24324867342068462</v>
      </c>
      <c r="L52" s="122">
        <f t="shared" si="20"/>
        <v>5.189502492976561</v>
      </c>
      <c r="N52" s="132">
        <f t="shared" si="21"/>
        <v>-0.49137979065024695</v>
      </c>
      <c r="O52" s="122">
        <f t="shared" si="22"/>
        <v>-10.483167750590976</v>
      </c>
      <c r="Q52" s="132">
        <v>1.2734813303972154E-2</v>
      </c>
      <c r="R52" s="122">
        <f t="shared" si="23"/>
        <v>0.27168635478747422</v>
      </c>
      <c r="T52" s="132"/>
    </row>
    <row r="53" spans="1:20">
      <c r="A53" s="117" t="str">
        <f t="shared" si="14"/>
        <v>34 Culture, media and sports occupations</v>
      </c>
      <c r="B53" s="132">
        <v>7.6956038424600592</v>
      </c>
      <c r="C53" s="122">
        <f t="shared" si="15"/>
        <v>1.5509264204041293</v>
      </c>
      <c r="E53" s="132">
        <v>7.2418470917099587</v>
      </c>
      <c r="F53" s="122">
        <f t="shared" si="16"/>
        <v>1.3874758770500211</v>
      </c>
      <c r="H53" s="132">
        <f t="shared" si="17"/>
        <v>-0.45375675075010058</v>
      </c>
      <c r="I53" s="122">
        <f t="shared" si="18"/>
        <v>-5.8963111932363699</v>
      </c>
      <c r="K53" s="132">
        <f t="shared" si="19"/>
        <v>0.39936355325406481</v>
      </c>
      <c r="L53" s="122">
        <f t="shared" si="20"/>
        <v>5.189502492976561</v>
      </c>
      <c r="N53" s="132">
        <f t="shared" si="21"/>
        <v>-0.69010217473657642</v>
      </c>
      <c r="O53" s="122">
        <f t="shared" si="22"/>
        <v>-8.967485708255623</v>
      </c>
      <c r="Q53" s="132">
        <v>-0.16301812926758899</v>
      </c>
      <c r="R53" s="122">
        <f t="shared" si="23"/>
        <v>-2.118327977957307</v>
      </c>
      <c r="T53" s="132"/>
    </row>
    <row r="54" spans="1:20">
      <c r="A54" s="117" t="str">
        <f t="shared" si="14"/>
        <v>35 Business and public service associate professionals</v>
      </c>
      <c r="B54" s="132">
        <v>28.718892057032409</v>
      </c>
      <c r="C54" s="122">
        <f t="shared" si="15"/>
        <v>5.787835414582287</v>
      </c>
      <c r="E54" s="132">
        <v>30.332034577933754</v>
      </c>
      <c r="F54" s="122">
        <f t="shared" si="16"/>
        <v>5.8113580341825504</v>
      </c>
      <c r="H54" s="132">
        <f t="shared" si="17"/>
        <v>1.613142520901345</v>
      </c>
      <c r="I54" s="122">
        <f t="shared" si="18"/>
        <v>5.6170081968964114</v>
      </c>
      <c r="K54" s="132">
        <f t="shared" si="19"/>
        <v>1.4903676192549444</v>
      </c>
      <c r="L54" s="122">
        <f t="shared" si="20"/>
        <v>5.189502492976561</v>
      </c>
      <c r="N54" s="132">
        <f t="shared" si="21"/>
        <v>0.44894615604057098</v>
      </c>
      <c r="O54" s="122">
        <f t="shared" si="22"/>
        <v>1.5632433004344863</v>
      </c>
      <c r="Q54" s="132">
        <v>-0.32617125439417038</v>
      </c>
      <c r="R54" s="122">
        <f t="shared" si="23"/>
        <v>-1.1357375965146284</v>
      </c>
      <c r="T54" s="132"/>
    </row>
    <row r="55" spans="1:20">
      <c r="A55" s="117" t="str">
        <f t="shared" si="14"/>
        <v>41 Administrative occupations</v>
      </c>
      <c r="B55" s="132">
        <v>47.19806700974938</v>
      </c>
      <c r="C55" s="122">
        <f t="shared" si="15"/>
        <v>9.5120188897385738</v>
      </c>
      <c r="E55" s="132">
        <v>48.119806641230511</v>
      </c>
      <c r="F55" s="122">
        <f t="shared" si="16"/>
        <v>9.2193428109587501</v>
      </c>
      <c r="H55" s="132">
        <f t="shared" si="17"/>
        <v>0.92173963148113103</v>
      </c>
      <c r="I55" s="122">
        <f t="shared" si="18"/>
        <v>1.9529181805066909</v>
      </c>
      <c r="K55" s="132">
        <f t="shared" si="19"/>
        <v>2.449344864107692</v>
      </c>
      <c r="L55" s="122">
        <f t="shared" si="20"/>
        <v>5.1895024929765619</v>
      </c>
      <c r="N55" s="132">
        <f t="shared" si="21"/>
        <v>-1.3232015060227682</v>
      </c>
      <c r="O55" s="122">
        <f t="shared" si="22"/>
        <v>-2.8035078338048116</v>
      </c>
      <c r="Q55" s="132">
        <v>-0.20440372660379297</v>
      </c>
      <c r="R55" s="122">
        <f t="shared" si="23"/>
        <v>-0.43307647866504939</v>
      </c>
      <c r="T55" s="132"/>
    </row>
    <row r="56" spans="1:20">
      <c r="A56" s="117" t="str">
        <f t="shared" si="14"/>
        <v>42 Secretarial and related occupations</v>
      </c>
      <c r="B56" s="132">
        <v>9.2803332734652102</v>
      </c>
      <c r="C56" s="122">
        <f t="shared" si="15"/>
        <v>1.8703034042058586</v>
      </c>
      <c r="E56" s="132">
        <v>5.4074642547867375</v>
      </c>
      <c r="F56" s="122">
        <f t="shared" si="16"/>
        <v>1.036023836807539</v>
      </c>
      <c r="H56" s="132">
        <f t="shared" si="17"/>
        <v>-3.8728690186784727</v>
      </c>
      <c r="I56" s="122">
        <f t="shared" si="18"/>
        <v>-41.73200363129169</v>
      </c>
      <c r="K56" s="132">
        <f t="shared" si="19"/>
        <v>0.48160312658301035</v>
      </c>
      <c r="L56" s="122">
        <f t="shared" si="20"/>
        <v>5.189502492976561</v>
      </c>
      <c r="N56" s="132">
        <f t="shared" si="21"/>
        <v>-4.5325367170977371</v>
      </c>
      <c r="O56" s="122">
        <f t="shared" si="22"/>
        <v>-48.840236482211161</v>
      </c>
      <c r="Q56" s="132">
        <v>0.17806457183625407</v>
      </c>
      <c r="R56" s="122">
        <f t="shared" si="23"/>
        <v>1.9187303579429109</v>
      </c>
      <c r="T56" s="132"/>
    </row>
    <row r="57" spans="1:20">
      <c r="A57" s="117" t="str">
        <f t="shared" si="14"/>
        <v>51 Skilled agricultural and related trades</v>
      </c>
      <c r="B57" s="132">
        <v>3.1931450848658716</v>
      </c>
      <c r="C57" s="122">
        <f t="shared" si="15"/>
        <v>0.6435275486736789</v>
      </c>
      <c r="E57" s="132">
        <v>3.5350171502669578</v>
      </c>
      <c r="F57" s="122">
        <f t="shared" si="16"/>
        <v>0.6772790089103351</v>
      </c>
      <c r="H57" s="132">
        <f t="shared" si="17"/>
        <v>0.34187206540108628</v>
      </c>
      <c r="I57" s="122">
        <f t="shared" si="18"/>
        <v>10.706436955258059</v>
      </c>
      <c r="K57" s="132">
        <f t="shared" si="19"/>
        <v>0.16570834378347293</v>
      </c>
      <c r="L57" s="122">
        <f t="shared" si="20"/>
        <v>5.189502492976561</v>
      </c>
      <c r="N57" s="132">
        <f t="shared" si="21"/>
        <v>0.26903958324132354</v>
      </c>
      <c r="O57" s="122">
        <f t="shared" si="22"/>
        <v>8.4255358303778607</v>
      </c>
      <c r="Q57" s="132">
        <v>-9.2875861623710199E-2</v>
      </c>
      <c r="R57" s="122">
        <f t="shared" si="23"/>
        <v>-2.9086013680963534</v>
      </c>
      <c r="T57" s="132"/>
    </row>
    <row r="58" spans="1:20">
      <c r="A58" s="117" t="str">
        <f t="shared" si="14"/>
        <v>52 Skilled metal, electrical and electronic trades</v>
      </c>
      <c r="B58" s="132">
        <v>23.236826282247673</v>
      </c>
      <c r="C58" s="122">
        <f t="shared" si="15"/>
        <v>4.6830123464305675</v>
      </c>
      <c r="E58" s="132">
        <v>20.841134342227381</v>
      </c>
      <c r="F58" s="122">
        <f t="shared" si="16"/>
        <v>3.9929828376659935</v>
      </c>
      <c r="H58" s="132">
        <f t="shared" si="17"/>
        <v>-2.3956919400202921</v>
      </c>
      <c r="I58" s="122">
        <f t="shared" si="18"/>
        <v>-10.309893059064345</v>
      </c>
      <c r="K58" s="132">
        <f t="shared" si="19"/>
        <v>1.2058756792058758</v>
      </c>
      <c r="L58" s="122">
        <f t="shared" si="20"/>
        <v>5.189502492976561</v>
      </c>
      <c r="N58" s="132">
        <f t="shared" si="21"/>
        <v>-1.6886563955090901</v>
      </c>
      <c r="O58" s="122">
        <f t="shared" si="22"/>
        <v>-7.2671559144855307</v>
      </c>
      <c r="Q58" s="132">
        <v>-1.9129112237170778</v>
      </c>
      <c r="R58" s="122">
        <f t="shared" si="23"/>
        <v>-8.2322396375553755</v>
      </c>
      <c r="T58" s="132"/>
    </row>
    <row r="59" spans="1:20">
      <c r="A59" s="117" t="str">
        <f t="shared" si="14"/>
        <v>53 Skilled construction and building trades</v>
      </c>
      <c r="B59" s="132">
        <v>17.473473402618112</v>
      </c>
      <c r="C59" s="122">
        <f t="shared" si="15"/>
        <v>3.5215003411202326</v>
      </c>
      <c r="E59" s="132">
        <v>14.401581227548823</v>
      </c>
      <c r="F59" s="122">
        <f t="shared" si="16"/>
        <v>2.7592196150446848</v>
      </c>
      <c r="H59" s="132">
        <f t="shared" si="17"/>
        <v>-3.0718921750692889</v>
      </c>
      <c r="I59" s="122">
        <f t="shared" si="18"/>
        <v>-17.580317915549728</v>
      </c>
      <c r="K59" s="132">
        <f t="shared" si="19"/>
        <v>0.90678633783846319</v>
      </c>
      <c r="L59" s="122">
        <f t="shared" si="20"/>
        <v>5.189502492976561</v>
      </c>
      <c r="N59" s="132">
        <f t="shared" si="21"/>
        <v>-3.1126500500586016</v>
      </c>
      <c r="O59" s="122">
        <f t="shared" si="22"/>
        <v>-17.813573628653721</v>
      </c>
      <c r="Q59" s="132">
        <v>-0.86602846284915058</v>
      </c>
      <c r="R59" s="122">
        <f t="shared" si="23"/>
        <v>-4.956246779872572</v>
      </c>
      <c r="T59" s="132"/>
    </row>
    <row r="60" spans="1:20">
      <c r="A60" s="117" t="str">
        <f t="shared" si="14"/>
        <v>54 Textiles, printing and other skilled trades</v>
      </c>
      <c r="B60" s="132">
        <v>8.3294023293213026</v>
      </c>
      <c r="C60" s="122">
        <f t="shared" si="15"/>
        <v>1.678658413709418</v>
      </c>
      <c r="E60" s="132">
        <v>7.9851910077103829</v>
      </c>
      <c r="F60" s="122">
        <f t="shared" si="16"/>
        <v>1.5298942046867838</v>
      </c>
      <c r="H60" s="132">
        <f t="shared" si="17"/>
        <v>-0.34421132161091972</v>
      </c>
      <c r="I60" s="122">
        <f t="shared" si="18"/>
        <v>-4.1324852372567111</v>
      </c>
      <c r="K60" s="132">
        <f t="shared" si="19"/>
        <v>0.43225454153017673</v>
      </c>
      <c r="L60" s="122">
        <f t="shared" si="20"/>
        <v>5.189502492976561</v>
      </c>
      <c r="N60" s="132">
        <f t="shared" si="21"/>
        <v>-0.71204106730322692</v>
      </c>
      <c r="O60" s="122">
        <f t="shared" si="22"/>
        <v>-8.5485253221193069</v>
      </c>
      <c r="Q60" s="132">
        <v>-6.4424795837869545E-2</v>
      </c>
      <c r="R60" s="122">
        <f t="shared" si="23"/>
        <v>-0.77346240811396871</v>
      </c>
      <c r="T60" s="132"/>
    </row>
    <row r="61" spans="1:20">
      <c r="A61" s="117" t="str">
        <f t="shared" si="14"/>
        <v>61 Caring personal service occupations</v>
      </c>
      <c r="B61" s="132">
        <v>39.709013980070296</v>
      </c>
      <c r="C61" s="122">
        <f t="shared" si="15"/>
        <v>8.0027194968238895</v>
      </c>
      <c r="E61" s="132">
        <v>45.131434884626096</v>
      </c>
      <c r="F61" s="122">
        <f t="shared" si="16"/>
        <v>8.646796377509105</v>
      </c>
      <c r="H61" s="132">
        <f t="shared" si="17"/>
        <v>5.4224209045557998</v>
      </c>
      <c r="I61" s="122">
        <f t="shared" si="18"/>
        <v>13.655390454362015</v>
      </c>
      <c r="K61" s="132">
        <f t="shared" si="19"/>
        <v>2.0607002704321591</v>
      </c>
      <c r="L61" s="122">
        <f t="shared" si="20"/>
        <v>5.189502492976561</v>
      </c>
      <c r="N61" s="132">
        <f t="shared" si="21"/>
        <v>1.1491994357053956</v>
      </c>
      <c r="O61" s="122">
        <f t="shared" si="22"/>
        <v>2.8940518046662445</v>
      </c>
      <c r="Q61" s="132">
        <v>2.2125211984182451</v>
      </c>
      <c r="R61" s="122">
        <f t="shared" si="23"/>
        <v>5.5718361567192165</v>
      </c>
      <c r="T61" s="132"/>
    </row>
    <row r="62" spans="1:20">
      <c r="A62" s="117" t="str">
        <f t="shared" si="14"/>
        <v>62 Leisure, travel and related personal service occupations</v>
      </c>
      <c r="B62" s="132">
        <v>9.1820078898329758</v>
      </c>
      <c r="C62" s="122">
        <f t="shared" si="15"/>
        <v>1.8504874887308156</v>
      </c>
      <c r="E62" s="132">
        <v>8.4132106883947344</v>
      </c>
      <c r="F62" s="122">
        <f t="shared" si="16"/>
        <v>1.6118991095586381</v>
      </c>
      <c r="H62" s="132">
        <f t="shared" si="17"/>
        <v>-0.76879720143824137</v>
      </c>
      <c r="I62" s="122">
        <f t="shared" si="18"/>
        <v>-8.3728658335124333</v>
      </c>
      <c r="K62" s="132">
        <f t="shared" si="19"/>
        <v>0.47650052834818679</v>
      </c>
      <c r="L62" s="122">
        <f t="shared" si="20"/>
        <v>5.189502492976561</v>
      </c>
      <c r="N62" s="132">
        <f t="shared" si="21"/>
        <v>-1.296194681538797</v>
      </c>
      <c r="O62" s="122">
        <f t="shared" si="22"/>
        <v>-14.116680110611139</v>
      </c>
      <c r="Q62" s="132">
        <v>5.0896951752368823E-2</v>
      </c>
      <c r="R62" s="122">
        <f t="shared" si="23"/>
        <v>0.55431178412213988</v>
      </c>
      <c r="T62" s="132"/>
    </row>
    <row r="63" spans="1:20">
      <c r="A63" s="117" t="str">
        <f t="shared" si="14"/>
        <v>63 Community and civil enforcement occupations</v>
      </c>
      <c r="B63" s="132">
        <v>0.44693455623107448</v>
      </c>
      <c r="C63" s="122">
        <f t="shared" si="15"/>
        <v>9.0072543446933023E-2</v>
      </c>
      <c r="E63" s="132">
        <v>0.37504575772625592</v>
      </c>
      <c r="F63" s="122">
        <f t="shared" si="16"/>
        <v>7.1855554949622202E-2</v>
      </c>
      <c r="H63" s="132">
        <f t="shared" si="17"/>
        <v>-7.1888798504818552E-2</v>
      </c>
      <c r="I63" s="122">
        <f t="shared" si="18"/>
        <v>-16.084860188714188</v>
      </c>
      <c r="K63" s="132">
        <f t="shared" si="19"/>
        <v>2.3193679937585341E-2</v>
      </c>
      <c r="L63" s="122">
        <f t="shared" si="20"/>
        <v>5.189502492976561</v>
      </c>
      <c r="N63" s="132">
        <f t="shared" si="21"/>
        <v>-0.10566558374568352</v>
      </c>
      <c r="O63" s="122">
        <f t="shared" si="22"/>
        <v>-23.642294441661434</v>
      </c>
      <c r="Q63" s="132">
        <v>1.0583105303279626E-2</v>
      </c>
      <c r="R63" s="122">
        <f t="shared" si="23"/>
        <v>2.3679317599706788</v>
      </c>
      <c r="T63" s="132"/>
    </row>
    <row r="64" spans="1:20">
      <c r="A64" s="117" t="str">
        <f t="shared" si="14"/>
        <v>71 Sales occupations</v>
      </c>
      <c r="B64" s="132">
        <v>30.25093913476638</v>
      </c>
      <c r="C64" s="122">
        <f t="shared" si="15"/>
        <v>6.096595108922398</v>
      </c>
      <c r="E64" s="132">
        <v>27.813348952284226</v>
      </c>
      <c r="F64" s="122">
        <f t="shared" si="16"/>
        <v>5.328799440607467</v>
      </c>
      <c r="H64" s="132">
        <f t="shared" si="17"/>
        <v>-2.437590182482154</v>
      </c>
      <c r="I64" s="122">
        <f t="shared" si="18"/>
        <v>-8.0578991998324856</v>
      </c>
      <c r="K64" s="132">
        <f t="shared" si="19"/>
        <v>1.5698732405475233</v>
      </c>
      <c r="L64" s="122">
        <f t="shared" si="20"/>
        <v>5.189502492976561</v>
      </c>
      <c r="N64" s="132">
        <f t="shared" si="21"/>
        <v>-3.5195869217894402</v>
      </c>
      <c r="O64" s="122">
        <f t="shared" si="22"/>
        <v>-11.634636882213346</v>
      </c>
      <c r="Q64" s="132">
        <v>-0.48787650124023713</v>
      </c>
      <c r="R64" s="122">
        <f t="shared" si="23"/>
        <v>-1.6127648105957053</v>
      </c>
      <c r="T64" s="132"/>
    </row>
    <row r="65" spans="1:20">
      <c r="A65" s="117" t="str">
        <f t="shared" si="14"/>
        <v>72 Customer service occupations</v>
      </c>
      <c r="B65" s="132">
        <v>9.088846806026746</v>
      </c>
      <c r="C65" s="122">
        <f t="shared" si="15"/>
        <v>1.8317123556566086</v>
      </c>
      <c r="E65" s="132">
        <v>11.267733851765355</v>
      </c>
      <c r="F65" s="122">
        <f t="shared" si="16"/>
        <v>2.158801298944975</v>
      </c>
      <c r="H65" s="132">
        <f t="shared" si="17"/>
        <v>2.1788870457386089</v>
      </c>
      <c r="I65" s="122">
        <f t="shared" si="18"/>
        <v>23.97319585465787</v>
      </c>
      <c r="K65" s="132">
        <f t="shared" si="19"/>
        <v>0.47166593158157855</v>
      </c>
      <c r="L65" s="122">
        <f t="shared" si="20"/>
        <v>5.189502492976561</v>
      </c>
      <c r="N65" s="132">
        <f t="shared" si="21"/>
        <v>1.7156979720638794</v>
      </c>
      <c r="O65" s="122">
        <f t="shared" si="22"/>
        <v>18.876959956308351</v>
      </c>
      <c r="Q65" s="132">
        <v>-8.4768579068490186E-3</v>
      </c>
      <c r="R65" s="122">
        <f t="shared" si="23"/>
        <v>-9.3266594627033184E-2</v>
      </c>
      <c r="T65" s="132"/>
    </row>
    <row r="66" spans="1:20">
      <c r="A66" s="117" t="str">
        <f t="shared" si="14"/>
        <v>81 Process, plant and machine operatives</v>
      </c>
      <c r="B66" s="132">
        <v>18.382917992462492</v>
      </c>
      <c r="C66" s="122">
        <f t="shared" si="15"/>
        <v>3.7047844174783462</v>
      </c>
      <c r="E66" s="132">
        <v>17.514325366127888</v>
      </c>
      <c r="F66" s="122">
        <f t="shared" si="16"/>
        <v>3.3555947316432215</v>
      </c>
      <c r="H66" s="132">
        <f t="shared" si="17"/>
        <v>-0.86859262633460332</v>
      </c>
      <c r="I66" s="122">
        <f t="shared" si="18"/>
        <v>-4.7249986465192855</v>
      </c>
      <c r="K66" s="132">
        <f t="shared" si="19"/>
        <v>0.95398198750067775</v>
      </c>
      <c r="L66" s="122">
        <f t="shared" si="20"/>
        <v>5.189502492976561</v>
      </c>
      <c r="N66" s="132">
        <f t="shared" si="21"/>
        <v>-0.17167377833098219</v>
      </c>
      <c r="O66" s="122">
        <f t="shared" si="22"/>
        <v>-0.93387664788241576</v>
      </c>
      <c r="Q66" s="132">
        <v>-1.6509008355042989</v>
      </c>
      <c r="R66" s="122">
        <f t="shared" si="23"/>
        <v>-8.9806244916134332</v>
      </c>
      <c r="T66" s="132"/>
    </row>
    <row r="67" spans="1:20">
      <c r="A67" s="117" t="str">
        <f t="shared" si="14"/>
        <v>82 Transport and mobile machine drivers and operatives</v>
      </c>
      <c r="B67" s="132">
        <v>21.975456313535553</v>
      </c>
      <c r="C67" s="122">
        <f t="shared" si="15"/>
        <v>4.428803313529702</v>
      </c>
      <c r="E67" s="132">
        <v>22.68541236648149</v>
      </c>
      <c r="F67" s="122">
        <f t="shared" si="16"/>
        <v>4.3463307110497489</v>
      </c>
      <c r="H67" s="132">
        <f t="shared" si="17"/>
        <v>0.70995605294593744</v>
      </c>
      <c r="I67" s="122">
        <f t="shared" si="18"/>
        <v>3.2306771828380487</v>
      </c>
      <c r="K67" s="132">
        <f t="shared" si="19"/>
        <v>1.1404168532339025</v>
      </c>
      <c r="L67" s="122">
        <f t="shared" si="20"/>
        <v>5.189502492976561</v>
      </c>
      <c r="N67" s="132">
        <f t="shared" si="21"/>
        <v>-1.1969660516215568</v>
      </c>
      <c r="O67" s="122">
        <f t="shared" si="22"/>
        <v>-5.446831385632243</v>
      </c>
      <c r="Q67" s="132">
        <v>0.76650525133359171</v>
      </c>
      <c r="R67" s="122">
        <f t="shared" si="23"/>
        <v>3.4880060754937352</v>
      </c>
      <c r="T67" s="132"/>
    </row>
    <row r="68" spans="1:20">
      <c r="A68" s="117" t="str">
        <f t="shared" si="14"/>
        <v>91 Elementary trades and related occupations</v>
      </c>
      <c r="B68" s="132">
        <v>8.59789452449556</v>
      </c>
      <c r="C68" s="122">
        <f t="shared" si="15"/>
        <v>1.7327687405521968</v>
      </c>
      <c r="E68" s="132">
        <v>16.496787208058887</v>
      </c>
      <c r="F68" s="122">
        <f t="shared" si="16"/>
        <v>3.1606431356733475</v>
      </c>
      <c r="H68" s="132">
        <f t="shared" si="17"/>
        <v>7.8988926835633269</v>
      </c>
      <c r="I68" s="122">
        <f t="shared" si="18"/>
        <v>91.870081228133643</v>
      </c>
      <c r="K68" s="132">
        <f t="shared" si="19"/>
        <v>0.4461879506921923</v>
      </c>
      <c r="L68" s="122">
        <f t="shared" si="20"/>
        <v>5.189502492976561</v>
      </c>
      <c r="N68" s="132">
        <f t="shared" si="21"/>
        <v>7.5910465534875105</v>
      </c>
      <c r="O68" s="122">
        <f t="shared" si="22"/>
        <v>88.289598480889467</v>
      </c>
      <c r="Q68" s="132">
        <v>-0.13834182061637615</v>
      </c>
      <c r="R68" s="122">
        <f t="shared" si="23"/>
        <v>-1.6090197457323738</v>
      </c>
      <c r="T68" s="132"/>
    </row>
    <row r="69" spans="1:20">
      <c r="A69" s="117" t="str">
        <f t="shared" ref="A69" si="24">A33</f>
        <v>92 Elementary administration and service occupations</v>
      </c>
      <c r="B69" s="132">
        <v>37.688938677596269</v>
      </c>
      <c r="C69" s="122">
        <f t="shared" ref="C69" si="25">B69/B$71*100</f>
        <v>7.5956054844670229</v>
      </c>
      <c r="E69" s="132">
        <v>29.481164863279925</v>
      </c>
      <c r="F69" s="122">
        <f t="shared" ref="F69" si="26">E69/E$71*100</f>
        <v>5.6483386844718861</v>
      </c>
      <c r="H69" s="132">
        <f t="shared" ref="H69" si="27">E69-B69</f>
        <v>-8.2077738143163437</v>
      </c>
      <c r="I69" s="122">
        <f t="shared" ref="I69" si="28">IF(B69&gt;0,((E69/B69)-1)*100,0)</f>
        <v>-21.777672978611506</v>
      </c>
      <c r="K69" s="132">
        <f t="shared" ref="K69" si="29">(($E$71/$B$71)-1)*B69</f>
        <v>1.9558684122502656</v>
      </c>
      <c r="L69" s="122">
        <f t="shared" ref="L69" si="30">IF(B69&gt;0,K69/B69*100,0)</f>
        <v>5.189502492976561</v>
      </c>
      <c r="N69" s="132">
        <f t="shared" ref="N69" si="31">H69-(K69+Q69)</f>
        <v>-11.828137219888077</v>
      </c>
      <c r="O69" s="122">
        <f t="shared" ref="O69" si="32">IF(B69&gt;0,N69/B69*100,0)</f>
        <v>-31.383577343660168</v>
      </c>
      <c r="Q69" s="132">
        <v>1.6644949933214672</v>
      </c>
      <c r="R69" s="122">
        <f t="shared" ref="R69" si="33">IF(B69&gt;0,Q69/B69*100,0)</f>
        <v>4.4164018720720994</v>
      </c>
      <c r="T69" s="132"/>
    </row>
    <row r="70" spans="1:20">
      <c r="A70" s="117"/>
      <c r="B70" s="132"/>
      <c r="C70" s="122"/>
      <c r="E70" s="132"/>
      <c r="F70" s="122"/>
      <c r="H70" s="132"/>
      <c r="I70" s="122"/>
      <c r="K70" s="132"/>
      <c r="L70" s="122"/>
      <c r="N70" s="132"/>
      <c r="O70" s="122"/>
      <c r="Q70" s="132"/>
      <c r="R70" s="122"/>
    </row>
    <row r="71" spans="1:20">
      <c r="A71" s="130" t="str">
        <f>name!$D$3</f>
        <v>All occupations</v>
      </c>
      <c r="B71" s="133">
        <f>SUM(B44:B69)</f>
        <v>496.19399999999962</v>
      </c>
      <c r="C71" s="128">
        <f>B71/B$71*100</f>
        <v>100</v>
      </c>
      <c r="D71" s="126"/>
      <c r="E71" s="133">
        <f>SUM(E44:E69)</f>
        <v>521.94399999999973</v>
      </c>
      <c r="F71" s="128">
        <f>E71/E$71*100</f>
        <v>100</v>
      </c>
      <c r="G71" s="126"/>
      <c r="H71" s="133">
        <f t="shared" si="17"/>
        <v>25.750000000000114</v>
      </c>
      <c r="I71" s="128">
        <f t="shared" si="18"/>
        <v>5.189502492976561</v>
      </c>
      <c r="J71" s="126"/>
      <c r="K71" s="126"/>
      <c r="L71" s="126"/>
      <c r="M71" s="126"/>
      <c r="N71" s="126"/>
      <c r="O71" s="126"/>
      <c r="P71" s="126"/>
      <c r="Q71" s="126"/>
      <c r="R71" s="126"/>
    </row>
    <row r="77" spans="1:20">
      <c r="T77" s="132"/>
    </row>
    <row r="78" spans="1:20">
      <c r="T78" s="132"/>
    </row>
    <row r="79" spans="1:20">
      <c r="T79" s="132"/>
    </row>
    <row r="80" spans="1:20">
      <c r="T80" s="132"/>
    </row>
    <row r="81" spans="20:20">
      <c r="T81" s="132"/>
    </row>
    <row r="82" spans="20:20">
      <c r="T82" s="132"/>
    </row>
    <row r="83" spans="20:20">
      <c r="T83" s="132"/>
    </row>
    <row r="84" spans="20:20">
      <c r="T84" s="132"/>
    </row>
    <row r="85" spans="20:20">
      <c r="T85" s="132"/>
    </row>
    <row r="86" spans="20:20">
      <c r="T86" s="132"/>
    </row>
    <row r="87" spans="20:20">
      <c r="T87" s="132"/>
    </row>
    <row r="88" spans="20:20">
      <c r="T88" s="132"/>
    </row>
    <row r="89" spans="20:20">
      <c r="T89" s="132"/>
    </row>
    <row r="90" spans="20:20">
      <c r="T90" s="132"/>
    </row>
    <row r="91" spans="20:20">
      <c r="T91" s="132"/>
    </row>
    <row r="92" spans="20:20">
      <c r="T92" s="132"/>
    </row>
    <row r="93" spans="20:20">
      <c r="T93" s="132"/>
    </row>
    <row r="94" spans="20:20">
      <c r="T94" s="132"/>
    </row>
    <row r="95" spans="20:20">
      <c r="T95" s="132"/>
    </row>
    <row r="96" spans="20:20">
      <c r="T96" s="132"/>
    </row>
    <row r="97" spans="20:20">
      <c r="T97" s="132"/>
    </row>
    <row r="98" spans="20:20">
      <c r="T98" s="132"/>
    </row>
    <row r="99" spans="20:20">
      <c r="T99" s="132"/>
    </row>
    <row r="100" spans="20:20">
      <c r="T100" s="132"/>
    </row>
    <row r="101" spans="20:20">
      <c r="T101" s="132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72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>
      <c r="A1" s="353" t="str">
        <f>CONCATENATE("Replacement Demand Table 1  Replacement Demand by Occupation and Qualification, ",$B$6,"-",$C$6,", ",Info!B5)</f>
        <v>Replacement Demand Table 1  Replacement Demand by Occupation and Qualification, 2020-2035, Black Country</v>
      </c>
      <c r="B1" s="353"/>
      <c r="C1" s="353"/>
      <c r="D1" s="353"/>
      <c r="E1" s="353"/>
      <c r="F1" s="353"/>
      <c r="G1" s="353"/>
      <c r="I1" s="353" t="str">
        <f>CONCATENATE("Replacement Demand Table 1.1  Replacement Demand by Occupation Group and Qualification, ",$B$6,"-",$C$6,", ",Info!B5)</f>
        <v>Replacement Demand Table 1.1  Replacement Demand by Occupation Group and Qualification, 2020-2035, Black Country</v>
      </c>
      <c r="J1" s="353"/>
      <c r="K1" s="353"/>
      <c r="L1" s="353"/>
      <c r="M1" s="353"/>
      <c r="N1" s="353"/>
      <c r="P1" s="353" t="str">
        <f>CONCATENATE("Replacement Demand Table 1.2  Replacement Demand by Occupation and Gender, ",$B$6,"-",$C$6,", ",Info!B5)</f>
        <v>Replacement Demand Table 1.2  Replacement Demand by Occupation and Gender, 2020-2035, Black Country</v>
      </c>
      <c r="Q1" s="353"/>
      <c r="R1" s="353"/>
      <c r="S1" s="353"/>
      <c r="T1" s="353"/>
      <c r="U1" s="353"/>
      <c r="V1" s="353"/>
      <c r="X1" s="353" t="str">
        <f>CONCATENATE("Replacement Demand Table 1.3  Replacement Demand by Industry, ",$B$6,"-",$C$6,", ",Info!B5)</f>
        <v>Replacement Demand Table 1.3  Replacement Demand by Industry, 2020-2035, Black Country</v>
      </c>
      <c r="Y1" s="353"/>
      <c r="Z1" s="353"/>
      <c r="AA1" s="353"/>
      <c r="AB1" s="353"/>
      <c r="AC1" s="353"/>
      <c r="AD1" s="353"/>
    </row>
    <row r="2" spans="1:30" ht="19.5" customHeight="1">
      <c r="A2" s="353"/>
      <c r="B2" s="353"/>
      <c r="C2" s="353"/>
      <c r="D2" s="353"/>
      <c r="E2" s="353"/>
      <c r="F2" s="353"/>
      <c r="G2" s="353"/>
      <c r="I2" s="353"/>
      <c r="J2" s="353"/>
      <c r="K2" s="353"/>
      <c r="L2" s="353"/>
      <c r="M2" s="353"/>
      <c r="N2" s="353"/>
      <c r="P2" s="353"/>
      <c r="Q2" s="353"/>
      <c r="R2" s="353"/>
      <c r="S2" s="353"/>
      <c r="T2" s="353"/>
      <c r="U2" s="353"/>
      <c r="V2" s="353"/>
      <c r="X2" s="353"/>
      <c r="Y2" s="353"/>
      <c r="Z2" s="353"/>
      <c r="AA2" s="353"/>
      <c r="AB2" s="353"/>
      <c r="AC2" s="353"/>
      <c r="AD2" s="353"/>
    </row>
    <row r="3" spans="1:30" ht="15.75">
      <c r="A3" s="1" t="s">
        <v>190</v>
      </c>
      <c r="B3" s="18"/>
      <c r="C3" s="18"/>
      <c r="D3" s="18"/>
      <c r="E3" s="18"/>
      <c r="F3" s="18"/>
      <c r="G3" s="18"/>
      <c r="I3" s="1" t="s">
        <v>191</v>
      </c>
      <c r="P3" s="159" t="s">
        <v>161</v>
      </c>
      <c r="X3" s="1" t="s">
        <v>125</v>
      </c>
    </row>
    <row r="4" spans="1:30" ht="12.75" customHeight="1">
      <c r="A4" s="18"/>
      <c r="B4" s="18"/>
      <c r="C4" s="18"/>
      <c r="D4" s="18"/>
      <c r="E4" s="18"/>
      <c r="F4" s="18"/>
      <c r="G4" s="18"/>
      <c r="I4" s="1"/>
      <c r="P4" s="1"/>
    </row>
    <row r="5" spans="1:30" s="56" customFormat="1">
      <c r="B5" s="16"/>
      <c r="F5" s="16" t="s">
        <v>112</v>
      </c>
      <c r="N5" s="16" t="s">
        <v>112</v>
      </c>
      <c r="Q5" s="16"/>
      <c r="S5" s="314"/>
      <c r="T5" s="314"/>
      <c r="U5" s="66" t="s">
        <v>112</v>
      </c>
      <c r="V5" s="314"/>
      <c r="Y5" s="16"/>
      <c r="AA5" s="314"/>
      <c r="AB5" s="314"/>
      <c r="AC5" s="66" t="s">
        <v>112</v>
      </c>
      <c r="AD5" s="314"/>
    </row>
    <row r="6" spans="1:30" ht="24.95" customHeight="1">
      <c r="A6" s="178" t="str">
        <f>CONCATENATE(name!F3," (Constrained)")</f>
        <v>All qualifications (Constrained)</v>
      </c>
      <c r="B6" s="60">
        <v>2020</v>
      </c>
      <c r="C6" s="60">
        <v>2035</v>
      </c>
      <c r="D6" s="70" t="s">
        <v>192</v>
      </c>
      <c r="E6" s="70" t="s">
        <v>193</v>
      </c>
      <c r="F6" s="70" t="s">
        <v>194</v>
      </c>
      <c r="G6" s="70" t="s">
        <v>195</v>
      </c>
      <c r="I6" s="179"/>
      <c r="J6" s="60">
        <f>B6</f>
        <v>2020</v>
      </c>
      <c r="K6" s="60">
        <f>C6</f>
        <v>2035</v>
      </c>
      <c r="L6" s="70" t="str">
        <f>D6</f>
        <v>Net Change</v>
      </c>
      <c r="M6" s="70" t="str">
        <f>E6</f>
        <v>Replacement Demand level</v>
      </c>
      <c r="N6" s="70" t="str">
        <f>F6</f>
        <v>Total Requirement</v>
      </c>
      <c r="P6" s="178" t="s">
        <v>157</v>
      </c>
      <c r="Q6" s="60">
        <f>B6</f>
        <v>2020</v>
      </c>
      <c r="R6" s="60">
        <f>C6</f>
        <v>2035</v>
      </c>
      <c r="S6" s="315" t="str">
        <f t="shared" ref="S6:V6" si="0">D6</f>
        <v>Net Change</v>
      </c>
      <c r="T6" s="315" t="str">
        <f t="shared" si="0"/>
        <v>Replacement Demand level</v>
      </c>
      <c r="U6" s="315" t="str">
        <f t="shared" si="0"/>
        <v>Total Requirement</v>
      </c>
      <c r="V6" s="315" t="str">
        <f t="shared" si="0"/>
        <v>Replacement Demand rate</v>
      </c>
      <c r="X6" s="178"/>
      <c r="Y6" s="60">
        <f>J6</f>
        <v>2020</v>
      </c>
      <c r="Z6" s="60">
        <f>K6</f>
        <v>2035</v>
      </c>
      <c r="AA6" s="315" t="str">
        <f t="shared" ref="AA6:AC6" si="1">L6</f>
        <v>Net Change</v>
      </c>
      <c r="AB6" s="315" t="str">
        <f t="shared" si="1"/>
        <v>Replacement Demand level</v>
      </c>
      <c r="AC6" s="315" t="str">
        <f t="shared" si="1"/>
        <v>Total Requirement</v>
      </c>
      <c r="AD6" s="315" t="str">
        <f>G6</f>
        <v>Replacement Demand rate</v>
      </c>
    </row>
    <row r="7" spans="1:30">
      <c r="A7" s="10" t="str">
        <f>name!D4</f>
        <v>11 Corporate managers and directors</v>
      </c>
      <c r="B7" s="11">
        <f t="shared" ref="B7:F16" si="2">SUM(B36,B65,B94,B123,B152,B181,B210,B239,B268)</f>
        <v>34.557349518918357</v>
      </c>
      <c r="C7" s="11">
        <f t="shared" si="2"/>
        <v>33.924972676339728</v>
      </c>
      <c r="D7" s="11">
        <f t="shared" si="2"/>
        <v>-0.63237684257862914</v>
      </c>
      <c r="E7" s="11">
        <f t="shared" si="2"/>
        <v>16.489966459804396</v>
      </c>
      <c r="F7" s="11">
        <f t="shared" si="2"/>
        <v>15.857589617225765</v>
      </c>
      <c r="G7" s="177">
        <f>IF(B7&gt;0,(1+(E7/B7))^(1/($C$6-$B$6))-1,0)</f>
        <v>2.6350029446394529E-2</v>
      </c>
      <c r="H7" s="11"/>
      <c r="I7" s="209" t="str">
        <f>name!F3</f>
        <v>All qualifications</v>
      </c>
      <c r="J7" s="29"/>
      <c r="K7" s="29"/>
      <c r="L7" s="29"/>
      <c r="M7" s="29"/>
      <c r="N7" s="29"/>
      <c r="O7" s="11"/>
      <c r="P7" s="10" t="str">
        <f>name!D4</f>
        <v>11 Corporate managers and directors</v>
      </c>
      <c r="Q7" s="11">
        <v>23.54205175517588</v>
      </c>
      <c r="R7" s="11">
        <v>21.302900715398657</v>
      </c>
      <c r="S7" s="316">
        <f>R7-Q7</f>
        <v>-2.239151039777223</v>
      </c>
      <c r="T7" s="316">
        <v>9.7644471705677418</v>
      </c>
      <c r="U7" s="316">
        <f>SUM(S7:T7)</f>
        <v>7.5252961307905188</v>
      </c>
      <c r="V7" s="317">
        <f>IF(Q7&gt;0,(1+(T7/Q7))^(1/($C$6-$B$6))-1,0)</f>
        <v>2.3400547289927021E-2</v>
      </c>
      <c r="X7" s="10" t="str">
        <f>name!B4</f>
        <v>Agriculture</v>
      </c>
      <c r="Y7" s="11">
        <v>1.1150000000000004</v>
      </c>
      <c r="Z7" s="11">
        <v>1.214999999999997</v>
      </c>
      <c r="AA7" s="316">
        <f>Z7-Y7</f>
        <v>9.9999999999996536E-2</v>
      </c>
      <c r="AB7" s="11">
        <v>0.61205235067179309</v>
      </c>
      <c r="AC7" s="316">
        <f>SUM(AA7:AB7)</f>
        <v>0.71205235067178962</v>
      </c>
      <c r="AD7" s="319">
        <f>IF(Y7&gt;0,(1+(AB7/Y7))^(1/($C$6-$B$6))-1,0)</f>
        <v>2.9600415091304733E-2</v>
      </c>
    </row>
    <row r="8" spans="1:30">
      <c r="A8" s="10" t="str">
        <f>name!D5</f>
        <v>12 Other managers and proprietors</v>
      </c>
      <c r="B8" s="11">
        <f t="shared" si="2"/>
        <v>13.243017973457508</v>
      </c>
      <c r="C8" s="11">
        <f t="shared" si="2"/>
        <v>15.301206610194448</v>
      </c>
      <c r="D8" s="11">
        <f t="shared" si="2"/>
        <v>2.05818863673694</v>
      </c>
      <c r="E8" s="11">
        <f t="shared" si="2"/>
        <v>8.0712592420323954</v>
      </c>
      <c r="F8" s="11">
        <f t="shared" si="2"/>
        <v>10.129447878769337</v>
      </c>
      <c r="G8" s="177">
        <f t="shared" ref="G8:G33" si="3">IF(B8&gt;0,(1+(E8/B8))^(1/($C$6-$B$6))-1,0)</f>
        <v>3.2235781547020004E-2</v>
      </c>
      <c r="H8" s="11"/>
      <c r="I8" s="10" t="str">
        <f>name!E4</f>
        <v>Managers, directors and senior officials</v>
      </c>
      <c r="J8" s="11">
        <f t="array" ref="J8:J16">MMULT(aggregation!$B$13:$AA$21,B7:B32)</f>
        <v>47.800367492375869</v>
      </c>
      <c r="K8" s="11">
        <f t="array" ref="K8:K16">MMULT(aggregation!$B$13:$AA$21,C7:C32)</f>
        <v>49.226179286534176</v>
      </c>
      <c r="L8" s="11">
        <f t="array" ref="L8:L16">MMULT(aggregation!$B$13:$AA$21,D7:D32)</f>
        <v>1.4258117941583108</v>
      </c>
      <c r="M8" s="11">
        <f t="array" ref="M8:M16">MMULT(aggregation!$B$13:$AA$21,E7:E32)</f>
        <v>24.56122570183679</v>
      </c>
      <c r="N8" s="11">
        <f t="array" ref="N8:N16">MMULT(aggregation!$B$13:$AA$21,F7:F32)</f>
        <v>25.987037495995104</v>
      </c>
      <c r="O8" s="11"/>
      <c r="P8" s="10" t="str">
        <f>name!D5</f>
        <v>12 Other managers and proprietors</v>
      </c>
      <c r="Q8" s="11">
        <v>7.3861335606273251</v>
      </c>
      <c r="R8" s="11">
        <v>9.2680775133572819</v>
      </c>
      <c r="S8" s="316">
        <f t="shared" ref="S8:S31" si="4">R8-Q8</f>
        <v>1.8819439527299568</v>
      </c>
      <c r="T8" s="316">
        <v>4.3705630228715577</v>
      </c>
      <c r="U8" s="316">
        <f t="shared" ref="U8:U31" si="5">SUM(S8:T8)</f>
        <v>6.2525069756015146</v>
      </c>
      <c r="V8" s="317">
        <f t="shared" ref="V8:V33" si="6">IF(Q8&gt;0,(1+(T8/Q8))^(1/($C$6-$B$6))-1,0)</f>
        <v>3.1473029935089158E-2</v>
      </c>
      <c r="X8" s="10" t="str">
        <f>name!B5</f>
        <v>Mining and quarrying</v>
      </c>
      <c r="Y8" s="11">
        <v>0.15500000000000022</v>
      </c>
      <c r="Z8" s="11">
        <v>6.2999999999999945E-2</v>
      </c>
      <c r="AA8" s="316">
        <f t="shared" ref="AA8:AA29" si="7">Z8-Y8</f>
        <v>-9.2000000000000276E-2</v>
      </c>
      <c r="AB8" s="11">
        <v>4.2015682039446771E-2</v>
      </c>
      <c r="AC8" s="316">
        <f t="shared" ref="AC8:AC29" si="8">SUM(AA8:AB8)</f>
        <v>-4.9984317960553505E-2</v>
      </c>
      <c r="AD8" s="319">
        <f t="shared" ref="AD8:AD29" si="9">IF(Y8&gt;0,(1+(AB8/Y8))^(1/($C$6-$B$6))-1,0)</f>
        <v>1.6119080522976503E-2</v>
      </c>
    </row>
    <row r="9" spans="1:30">
      <c r="A9" s="10" t="str">
        <f>name!D6</f>
        <v>21 Science, research, engineering and technology professionals</v>
      </c>
      <c r="B9" s="11">
        <f t="shared" si="2"/>
        <v>26.674152239734848</v>
      </c>
      <c r="C9" s="11">
        <f t="shared" si="2"/>
        <v>36.460147888250233</v>
      </c>
      <c r="D9" s="11">
        <f t="shared" si="2"/>
        <v>9.7859956485153887</v>
      </c>
      <c r="E9" s="11">
        <f t="shared" si="2"/>
        <v>12.028708446399156</v>
      </c>
      <c r="F9" s="11">
        <f t="shared" si="2"/>
        <v>21.814704094914543</v>
      </c>
      <c r="G9" s="177">
        <f t="shared" si="3"/>
        <v>2.5125010635409728E-2</v>
      </c>
      <c r="H9" s="11"/>
      <c r="I9" s="10" t="str">
        <f>name!E5</f>
        <v>Professional occupations</v>
      </c>
      <c r="J9" s="11">
        <v>103.54383323968847</v>
      </c>
      <c r="K9" s="11">
        <v>121.73921749855066</v>
      </c>
      <c r="L9" s="11">
        <v>18.195384258862177</v>
      </c>
      <c r="M9" s="11">
        <v>52.099383225590579</v>
      </c>
      <c r="N9" s="11">
        <v>70.294767484452748</v>
      </c>
      <c r="O9" s="11"/>
      <c r="P9" s="10" t="str">
        <f>name!D6</f>
        <v>21 Science, research, engineering and technology professionals</v>
      </c>
      <c r="Q9" s="11">
        <v>21.806577872402684</v>
      </c>
      <c r="R9" s="11">
        <v>28.300759774136683</v>
      </c>
      <c r="S9" s="316">
        <f t="shared" si="4"/>
        <v>6.4941819017339988</v>
      </c>
      <c r="T9" s="316">
        <v>8.511606322599528</v>
      </c>
      <c r="U9" s="316">
        <f t="shared" si="5"/>
        <v>15.005788224333527</v>
      </c>
      <c r="V9" s="317">
        <f t="shared" si="6"/>
        <v>2.2212164192738637E-2</v>
      </c>
      <c r="X9" s="10" t="str">
        <f>name!B6</f>
        <v>Food drink and tobacco</v>
      </c>
      <c r="Y9" s="11">
        <v>6.2970000000000033</v>
      </c>
      <c r="Z9" s="11">
        <v>6.1889999999999805</v>
      </c>
      <c r="AA9" s="316">
        <f t="shared" si="7"/>
        <v>-0.10800000000002274</v>
      </c>
      <c r="AB9" s="11">
        <v>2.7715210530911465</v>
      </c>
      <c r="AC9" s="316">
        <f t="shared" si="8"/>
        <v>2.6635210530911237</v>
      </c>
      <c r="AD9" s="319">
        <f t="shared" si="9"/>
        <v>2.4613762129199523E-2</v>
      </c>
    </row>
    <row r="10" spans="1:30">
      <c r="A10" s="10" t="str">
        <f>name!D7</f>
        <v>22 Health professionals</v>
      </c>
      <c r="B10" s="11">
        <f t="shared" si="2"/>
        <v>26.88530379611479</v>
      </c>
      <c r="C10" s="11">
        <f t="shared" si="2"/>
        <v>28.579623063913782</v>
      </c>
      <c r="D10" s="11">
        <f t="shared" si="2"/>
        <v>1.6943192677989936</v>
      </c>
      <c r="E10" s="11">
        <f t="shared" si="2"/>
        <v>14.366534680789885</v>
      </c>
      <c r="F10" s="11">
        <f t="shared" si="2"/>
        <v>16.060853948588878</v>
      </c>
      <c r="G10" s="177">
        <f t="shared" si="3"/>
        <v>2.8952256750052863E-2</v>
      </c>
      <c r="H10" s="11"/>
      <c r="I10" s="10" t="str">
        <f>name!E6</f>
        <v>Associate professional occupations</v>
      </c>
      <c r="J10" s="11">
        <v>60.815602010650579</v>
      </c>
      <c r="K10" s="11">
        <v>71.509944652399099</v>
      </c>
      <c r="L10" s="11">
        <v>10.694342641748531</v>
      </c>
      <c r="M10" s="11">
        <v>31.730265288706448</v>
      </c>
      <c r="N10" s="11">
        <v>42.424607930454968</v>
      </c>
      <c r="O10" s="11"/>
      <c r="P10" s="10" t="str">
        <f>name!D7</f>
        <v>22 Health professionals</v>
      </c>
      <c r="Q10" s="11">
        <v>6.8725916386043506</v>
      </c>
      <c r="R10" s="11">
        <v>7.2080802251589775</v>
      </c>
      <c r="S10" s="316">
        <f t="shared" si="4"/>
        <v>0.33548858655462688</v>
      </c>
      <c r="T10" s="316">
        <v>2.6409805976244649</v>
      </c>
      <c r="U10" s="316">
        <f t="shared" si="5"/>
        <v>2.9764691841790918</v>
      </c>
      <c r="V10" s="317">
        <f t="shared" si="6"/>
        <v>2.1915230911953909E-2</v>
      </c>
      <c r="X10" s="10" t="str">
        <f>name!B7</f>
        <v>Engineering</v>
      </c>
      <c r="Y10" s="11">
        <v>7.4149999999999814</v>
      </c>
      <c r="Z10" s="11">
        <v>7.0909999999999993</v>
      </c>
      <c r="AA10" s="316">
        <f t="shared" si="7"/>
        <v>-0.32399999999998208</v>
      </c>
      <c r="AB10" s="11">
        <v>3.1505890693520353</v>
      </c>
      <c r="AC10" s="316">
        <f t="shared" si="8"/>
        <v>2.8265890693520532</v>
      </c>
      <c r="AD10" s="319">
        <f t="shared" si="9"/>
        <v>2.3887334205092037E-2</v>
      </c>
    </row>
    <row r="11" spans="1:30">
      <c r="A11" s="10" t="str">
        <f>name!D8</f>
        <v>23 Teaching and other educational professionals</v>
      </c>
      <c r="B11" s="11">
        <f t="shared" si="2"/>
        <v>22.026617843508575</v>
      </c>
      <c r="C11" s="11">
        <f t="shared" si="2"/>
        <v>24.165356288680908</v>
      </c>
      <c r="D11" s="11">
        <f t="shared" si="2"/>
        <v>2.138738445172335</v>
      </c>
      <c r="E11" s="11">
        <f t="shared" si="2"/>
        <v>11.480232436624902</v>
      </c>
      <c r="F11" s="11">
        <f t="shared" si="2"/>
        <v>13.618970881797239</v>
      </c>
      <c r="G11" s="177">
        <f t="shared" si="3"/>
        <v>2.8361287211412511E-2</v>
      </c>
      <c r="H11" s="11"/>
      <c r="I11" s="10" t="str">
        <f>name!E7</f>
        <v>Administrative and secretarial occupations</v>
      </c>
      <c r="J11" s="11">
        <v>56.478400283214583</v>
      </c>
      <c r="K11" s="11">
        <v>53.527270896017207</v>
      </c>
      <c r="L11" s="11">
        <v>-2.9511293871973714</v>
      </c>
      <c r="M11" s="11">
        <v>28.233224777946248</v>
      </c>
      <c r="N11" s="11">
        <v>25.282095390748875</v>
      </c>
      <c r="O11" s="11"/>
      <c r="P11" s="10" t="str">
        <f>name!D8</f>
        <v>23 Teaching and other educational professionals</v>
      </c>
      <c r="Q11" s="11">
        <v>7.1451073437704435</v>
      </c>
      <c r="R11" s="11">
        <v>7.8222420300595887</v>
      </c>
      <c r="S11" s="316">
        <f t="shared" si="4"/>
        <v>0.67713468628914519</v>
      </c>
      <c r="T11" s="316">
        <v>3.1883105003307457</v>
      </c>
      <c r="U11" s="316">
        <f t="shared" si="5"/>
        <v>3.8654451866198909</v>
      </c>
      <c r="V11" s="317">
        <f t="shared" si="6"/>
        <v>2.4902019500789851E-2</v>
      </c>
      <c r="X11" s="10" t="str">
        <f>name!B8</f>
        <v>Rest of manufacturing</v>
      </c>
      <c r="Y11" s="11">
        <v>50.167000000000066</v>
      </c>
      <c r="Z11" s="11">
        <v>43.609999999999978</v>
      </c>
      <c r="AA11" s="316">
        <f t="shared" si="7"/>
        <v>-6.5570000000000874</v>
      </c>
      <c r="AB11" s="11">
        <v>19.72592419589375</v>
      </c>
      <c r="AC11" s="316">
        <f t="shared" si="8"/>
        <v>13.168924195893663</v>
      </c>
      <c r="AD11" s="319">
        <f t="shared" si="9"/>
        <v>2.2353305124428458E-2</v>
      </c>
    </row>
    <row r="12" spans="1:30">
      <c r="A12" s="10" t="str">
        <f>name!D9</f>
        <v>24 Business, media and public service professionals</v>
      </c>
      <c r="B12" s="11">
        <f t="shared" si="2"/>
        <v>27.957759360330265</v>
      </c>
      <c r="C12" s="11">
        <f t="shared" si="2"/>
        <v>32.534090257705728</v>
      </c>
      <c r="D12" s="11">
        <f t="shared" si="2"/>
        <v>4.5763308973754615</v>
      </c>
      <c r="E12" s="11">
        <f t="shared" si="2"/>
        <v>14.223907661776634</v>
      </c>
      <c r="F12" s="11">
        <f t="shared" si="2"/>
        <v>18.800238559152096</v>
      </c>
      <c r="G12" s="177">
        <f t="shared" si="3"/>
        <v>2.7798765642181644E-2</v>
      </c>
      <c r="H12" s="11"/>
      <c r="I12" s="10" t="str">
        <f>name!E8</f>
        <v>Skilled trades occupations</v>
      </c>
      <c r="J12" s="11">
        <v>52.232847099052975</v>
      </c>
      <c r="K12" s="11">
        <v>46.762923727753574</v>
      </c>
      <c r="L12" s="11">
        <v>-5.4699233712993989</v>
      </c>
      <c r="M12" s="11">
        <v>20.361626507675577</v>
      </c>
      <c r="N12" s="11">
        <v>14.891703136376176</v>
      </c>
      <c r="O12" s="11"/>
      <c r="P12" s="10" t="str">
        <f>name!D9</f>
        <v>24 Business, media and public service professionals</v>
      </c>
      <c r="Q12" s="11">
        <v>16.215269174648807</v>
      </c>
      <c r="R12" s="11">
        <v>18.434762102201113</v>
      </c>
      <c r="S12" s="316">
        <f t="shared" si="4"/>
        <v>2.2194929275523059</v>
      </c>
      <c r="T12" s="316">
        <v>7.3151806169722464</v>
      </c>
      <c r="U12" s="316">
        <f t="shared" si="5"/>
        <v>9.5346735445245514</v>
      </c>
      <c r="V12" s="317">
        <f t="shared" si="6"/>
        <v>2.5133449295227983E-2</v>
      </c>
      <c r="X12" s="10" t="str">
        <f>name!B9</f>
        <v>Electricity and gas</v>
      </c>
      <c r="Y12" s="11">
        <v>1.9709999999999988</v>
      </c>
      <c r="Z12" s="11">
        <v>1.8180000000000041</v>
      </c>
      <c r="AA12" s="316">
        <f t="shared" si="7"/>
        <v>-0.1529999999999947</v>
      </c>
      <c r="AB12" s="11">
        <v>0.78675766628093169</v>
      </c>
      <c r="AC12" s="316">
        <f t="shared" si="8"/>
        <v>0.63375766628093699</v>
      </c>
      <c r="AD12" s="319">
        <f t="shared" si="9"/>
        <v>2.2644369984085699E-2</v>
      </c>
    </row>
    <row r="13" spans="1:30">
      <c r="A13" s="10" t="str">
        <f>name!D10</f>
        <v>31 Science, engineering and technology associate professionals</v>
      </c>
      <c r="B13" s="11">
        <f t="shared" si="2"/>
        <v>8.7119007645620865</v>
      </c>
      <c r="C13" s="11">
        <f t="shared" si="2"/>
        <v>8.4283160725445558</v>
      </c>
      <c r="D13" s="11">
        <f t="shared" si="2"/>
        <v>-0.28358469201753089</v>
      </c>
      <c r="E13" s="11">
        <f t="shared" si="2"/>
        <v>3.2508461489073412</v>
      </c>
      <c r="F13" s="11">
        <f t="shared" si="2"/>
        <v>2.9672614568898101</v>
      </c>
      <c r="G13" s="177">
        <f t="shared" si="3"/>
        <v>2.1365536762369963E-2</v>
      </c>
      <c r="H13" s="11"/>
      <c r="I13" s="10" t="str">
        <f>name!E9</f>
        <v>Caring, leisure and other service occupations</v>
      </c>
      <c r="J13" s="11">
        <v>49.337956426134419</v>
      </c>
      <c r="K13" s="11">
        <v>53.919691330747135</v>
      </c>
      <c r="L13" s="11">
        <v>4.5817349046127207</v>
      </c>
      <c r="M13" s="11">
        <v>28.655182651565259</v>
      </c>
      <c r="N13" s="11">
        <v>33.236917556177985</v>
      </c>
      <c r="O13" s="11"/>
      <c r="P13" s="10" t="str">
        <f>name!D10</f>
        <v>31 Science, engineering and technology associate professionals</v>
      </c>
      <c r="Q13" s="11">
        <v>6.7208561905131106</v>
      </c>
      <c r="R13" s="11">
        <v>5.9693453417966023</v>
      </c>
      <c r="S13" s="316">
        <f t="shared" si="4"/>
        <v>-0.75151084871650831</v>
      </c>
      <c r="T13" s="316">
        <v>2.1434136102746773</v>
      </c>
      <c r="U13" s="316">
        <f t="shared" si="5"/>
        <v>1.3919027615581689</v>
      </c>
      <c r="V13" s="317">
        <f t="shared" si="6"/>
        <v>1.8625531841960585E-2</v>
      </c>
      <c r="X13" s="10" t="str">
        <f>name!B10</f>
        <v>Water and sewerage</v>
      </c>
      <c r="Y13" s="11">
        <v>3.8029999999999959</v>
      </c>
      <c r="Z13" s="11">
        <v>4.0479999999999894</v>
      </c>
      <c r="AA13" s="316">
        <f t="shared" si="7"/>
        <v>0.24499999999999345</v>
      </c>
      <c r="AB13" s="11">
        <v>1.7402895980274735</v>
      </c>
      <c r="AC13" s="316">
        <f t="shared" si="8"/>
        <v>1.985289598027467</v>
      </c>
      <c r="AD13" s="319">
        <f t="shared" si="9"/>
        <v>2.5438021192591753E-2</v>
      </c>
    </row>
    <row r="14" spans="1:30">
      <c r="A14" s="10" t="str">
        <f>name!D11</f>
        <v>32 Health and social care associate professionals</v>
      </c>
      <c r="B14" s="11">
        <f t="shared" si="2"/>
        <v>11.001883705458059</v>
      </c>
      <c r="C14" s="11">
        <f t="shared" si="2"/>
        <v>21.055821572998457</v>
      </c>
      <c r="D14" s="11">
        <f t="shared" si="2"/>
        <v>10.053937867540398</v>
      </c>
      <c r="E14" s="11">
        <f t="shared" si="2"/>
        <v>10.475612259565926</v>
      </c>
      <c r="F14" s="11">
        <f t="shared" si="2"/>
        <v>20.529550127106319</v>
      </c>
      <c r="G14" s="177">
        <f t="shared" si="3"/>
        <v>4.5605293095293709E-2</v>
      </c>
      <c r="H14" s="11"/>
      <c r="I14" s="10" t="str">
        <f>name!E10</f>
        <v>Sales and customer service occupations</v>
      </c>
      <c r="J14" s="11">
        <v>39.339785940793099</v>
      </c>
      <c r="K14" s="11">
        <v>39.081082804049572</v>
      </c>
      <c r="L14" s="11">
        <v>-0.25870313674353262</v>
      </c>
      <c r="M14" s="11">
        <v>17.810894777395994</v>
      </c>
      <c r="N14" s="11">
        <v>17.55219164065246</v>
      </c>
      <c r="O14" s="11"/>
      <c r="P14" s="10" t="str">
        <f>name!D11</f>
        <v>32 Health and social care associate professionals</v>
      </c>
      <c r="Q14" s="11">
        <v>2.4607813380873722</v>
      </c>
      <c r="R14" s="11">
        <v>3.6552006282453262</v>
      </c>
      <c r="S14" s="316">
        <f t="shared" si="4"/>
        <v>1.194419290157954</v>
      </c>
      <c r="T14" s="316">
        <v>1.6053834572114065</v>
      </c>
      <c r="U14" s="316">
        <f t="shared" si="5"/>
        <v>2.7998027473693607</v>
      </c>
      <c r="V14" s="317">
        <f t="shared" si="6"/>
        <v>3.4048232850848903E-2</v>
      </c>
      <c r="X14" s="10" t="str">
        <f>name!B11</f>
        <v>Construction</v>
      </c>
      <c r="Y14" s="11">
        <v>37.014999999999908</v>
      </c>
      <c r="Z14" s="11">
        <v>37.449999999999925</v>
      </c>
      <c r="AA14" s="316">
        <f t="shared" si="7"/>
        <v>0.43500000000001648</v>
      </c>
      <c r="AB14" s="11">
        <v>15.414609290210322</v>
      </c>
      <c r="AC14" s="316">
        <f t="shared" si="8"/>
        <v>15.849609290210338</v>
      </c>
      <c r="AD14" s="319">
        <f t="shared" si="9"/>
        <v>2.3481329268106643E-2</v>
      </c>
    </row>
    <row r="15" spans="1:30">
      <c r="A15" s="10" t="str">
        <f>name!D12</f>
        <v>33 Protective service occupations</v>
      </c>
      <c r="B15" s="11">
        <f t="shared" si="2"/>
        <v>4.6873216411379612</v>
      </c>
      <c r="C15" s="11">
        <f t="shared" si="2"/>
        <v>4.4519253372123684</v>
      </c>
      <c r="D15" s="11">
        <f t="shared" si="2"/>
        <v>-0.2353963039255926</v>
      </c>
      <c r="E15" s="11">
        <f t="shared" si="2"/>
        <v>1.4492247074295082</v>
      </c>
      <c r="F15" s="11">
        <f t="shared" si="2"/>
        <v>1.2138284035039155</v>
      </c>
      <c r="G15" s="177">
        <f t="shared" si="3"/>
        <v>1.8122302221039277E-2</v>
      </c>
      <c r="H15" s="11"/>
      <c r="I15" s="10" t="str">
        <f>name!E11</f>
        <v>Process, plant and machine operatives</v>
      </c>
      <c r="J15" s="11">
        <v>40.358374305998069</v>
      </c>
      <c r="K15" s="11">
        <v>40.199737732609357</v>
      </c>
      <c r="L15" s="11">
        <v>-0.15863657338870585</v>
      </c>
      <c r="M15" s="11">
        <v>19.468422812814641</v>
      </c>
      <c r="N15" s="11">
        <v>19.309786239425939</v>
      </c>
      <c r="O15" s="11"/>
      <c r="P15" s="10" t="str">
        <f>name!D12</f>
        <v>33 Protective service occupations</v>
      </c>
      <c r="Q15" s="11">
        <v>3.4149050526208469</v>
      </c>
      <c r="R15" s="11">
        <v>2.9406514003190516</v>
      </c>
      <c r="S15" s="316">
        <f t="shared" si="4"/>
        <v>-0.47425365230179528</v>
      </c>
      <c r="T15" s="316">
        <v>0.83173271306921326</v>
      </c>
      <c r="U15" s="316">
        <f t="shared" si="5"/>
        <v>0.35747906076741798</v>
      </c>
      <c r="V15" s="317">
        <f t="shared" si="6"/>
        <v>1.4637958521531713E-2</v>
      </c>
      <c r="X15" s="10" t="str">
        <f>name!B12</f>
        <v>Wholesale and retail trade</v>
      </c>
      <c r="Y15" s="11">
        <v>87.074000000000183</v>
      </c>
      <c r="Z15" s="11">
        <v>88.842999999999677</v>
      </c>
      <c r="AA15" s="316">
        <f t="shared" si="7"/>
        <v>1.7689999999994939</v>
      </c>
      <c r="AB15" s="11">
        <v>41.068146377617396</v>
      </c>
      <c r="AC15" s="316">
        <f t="shared" si="8"/>
        <v>42.837146377616889</v>
      </c>
      <c r="AD15" s="319">
        <f t="shared" si="9"/>
        <v>2.6093413567408241E-2</v>
      </c>
    </row>
    <row r="16" spans="1:30">
      <c r="A16" s="10" t="str">
        <f>name!D13</f>
        <v>34 Culture, media and sports occupations</v>
      </c>
      <c r="B16" s="11">
        <f t="shared" si="2"/>
        <v>7.6956038424600592</v>
      </c>
      <c r="C16" s="11">
        <f t="shared" si="2"/>
        <v>7.2418470917099587</v>
      </c>
      <c r="D16" s="11">
        <f t="shared" si="2"/>
        <v>-0.4537567507501018</v>
      </c>
      <c r="E16" s="11">
        <f t="shared" si="2"/>
        <v>3.1892023159623957</v>
      </c>
      <c r="F16" s="11">
        <f t="shared" si="2"/>
        <v>2.7354455652122933</v>
      </c>
      <c r="G16" s="177">
        <f t="shared" si="3"/>
        <v>2.3383788741752287E-2</v>
      </c>
      <c r="H16" s="11"/>
      <c r="I16" s="10" t="str">
        <f>name!E12</f>
        <v>Elementary occupations</v>
      </c>
      <c r="J16" s="11">
        <v>46.286833202091884</v>
      </c>
      <c r="K16" s="11">
        <v>45.977952071338834</v>
      </c>
      <c r="L16" s="11">
        <v>-0.30888113075304613</v>
      </c>
      <c r="M16" s="11">
        <v>22.797987863335656</v>
      </c>
      <c r="N16" s="11">
        <v>22.489106732582613</v>
      </c>
      <c r="O16" s="11"/>
      <c r="P16" s="10" t="str">
        <f>name!D13</f>
        <v>34 Culture, media and sports occupations</v>
      </c>
      <c r="Q16" s="11">
        <v>4.5437609296462051</v>
      </c>
      <c r="R16" s="11">
        <v>4.137314928784833</v>
      </c>
      <c r="S16" s="316">
        <f t="shared" si="4"/>
        <v>-0.40644600086137217</v>
      </c>
      <c r="T16" s="316">
        <v>1.6115461631342662</v>
      </c>
      <c r="U16" s="316">
        <f t="shared" si="5"/>
        <v>1.2051001622728941</v>
      </c>
      <c r="V16" s="317">
        <f t="shared" si="6"/>
        <v>2.0443468238622975E-2</v>
      </c>
      <c r="X16" s="10" t="str">
        <f>name!B13</f>
        <v>Transport and storage</v>
      </c>
      <c r="Y16" s="11">
        <v>32.947999999999944</v>
      </c>
      <c r="Z16" s="11">
        <v>37.761000000000067</v>
      </c>
      <c r="AA16" s="316">
        <f t="shared" si="7"/>
        <v>4.8130000000001232</v>
      </c>
      <c r="AB16" s="11">
        <v>17.245771609961935</v>
      </c>
      <c r="AC16" s="316">
        <f t="shared" si="8"/>
        <v>22.058771609962058</v>
      </c>
      <c r="AD16" s="319">
        <f t="shared" si="9"/>
        <v>2.8461530345039732E-2</v>
      </c>
    </row>
    <row r="17" spans="1:30">
      <c r="A17" s="10" t="str">
        <f>name!D14</f>
        <v>35 Business and public service associate professionals</v>
      </c>
      <c r="B17" s="11">
        <f t="shared" ref="B17:F26" si="10">SUM(B46,B75,B104,B133,B162,B191,B220,B249,B278)</f>
        <v>28.718892057032409</v>
      </c>
      <c r="C17" s="11">
        <f t="shared" si="10"/>
        <v>30.332034577933769</v>
      </c>
      <c r="D17" s="11">
        <f t="shared" si="10"/>
        <v>1.613142520901357</v>
      </c>
      <c r="E17" s="11">
        <f t="shared" si="10"/>
        <v>13.365379856841281</v>
      </c>
      <c r="F17" s="11">
        <f t="shared" si="10"/>
        <v>14.978522377742637</v>
      </c>
      <c r="G17" s="177">
        <f t="shared" si="3"/>
        <v>2.5801844835433796E-2</v>
      </c>
      <c r="H17" s="11"/>
      <c r="O17" s="11"/>
      <c r="P17" s="10" t="str">
        <f>name!D14</f>
        <v>35 Business and public service associate professionals</v>
      </c>
      <c r="Q17" s="11">
        <v>15.700778568083784</v>
      </c>
      <c r="R17" s="11">
        <v>15.753402090816163</v>
      </c>
      <c r="S17" s="316">
        <f t="shared" si="4"/>
        <v>5.2623522732378802E-2</v>
      </c>
      <c r="T17" s="316">
        <v>6.0011903139623914</v>
      </c>
      <c r="U17" s="316">
        <f t="shared" si="5"/>
        <v>6.0538138366947702</v>
      </c>
      <c r="V17" s="317">
        <f t="shared" si="6"/>
        <v>2.1814034053103226E-2</v>
      </c>
      <c r="X17" s="10" t="str">
        <f>name!B14</f>
        <v>Accommodation and food</v>
      </c>
      <c r="Y17" s="11">
        <v>24.702000000000027</v>
      </c>
      <c r="Z17" s="11">
        <v>29.351999999999972</v>
      </c>
      <c r="AA17" s="316">
        <f t="shared" si="7"/>
        <v>4.6499999999999453</v>
      </c>
      <c r="AB17" s="11">
        <v>13.780300775376173</v>
      </c>
      <c r="AC17" s="316">
        <f t="shared" si="8"/>
        <v>18.430300775376118</v>
      </c>
      <c r="AD17" s="319">
        <f t="shared" si="9"/>
        <v>2.9995342338923425E-2</v>
      </c>
    </row>
    <row r="18" spans="1:30">
      <c r="A18" s="10" t="str">
        <f>name!D15</f>
        <v>41 Administrative occupations</v>
      </c>
      <c r="B18" s="11">
        <f t="shared" si="10"/>
        <v>47.198067009749373</v>
      </c>
      <c r="C18" s="11">
        <f t="shared" si="10"/>
        <v>48.119806641230468</v>
      </c>
      <c r="D18" s="11">
        <f t="shared" si="10"/>
        <v>0.92173963148110305</v>
      </c>
      <c r="E18" s="11">
        <f t="shared" si="10"/>
        <v>24.237425168180764</v>
      </c>
      <c r="F18" s="11">
        <f t="shared" si="10"/>
        <v>25.159164799661866</v>
      </c>
      <c r="G18" s="177">
        <f t="shared" si="3"/>
        <v>2.8014693041727767E-2</v>
      </c>
      <c r="H18" s="11"/>
      <c r="I18" s="69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16.23011080316379</v>
      </c>
      <c r="R18" s="11">
        <v>19.651714866681374</v>
      </c>
      <c r="S18" s="316">
        <f t="shared" si="4"/>
        <v>3.4216040635175844</v>
      </c>
      <c r="T18" s="316">
        <v>6.9011682914532315</v>
      </c>
      <c r="U18" s="316">
        <f t="shared" si="5"/>
        <v>10.322772354970816</v>
      </c>
      <c r="V18" s="317">
        <f t="shared" si="6"/>
        <v>2.3902360598418104E-2</v>
      </c>
      <c r="X18" s="10" t="str">
        <f>name!B15</f>
        <v>Media</v>
      </c>
      <c r="Y18" s="11">
        <v>2.1099999999999994</v>
      </c>
      <c r="Z18" s="11">
        <v>2.105999999999995</v>
      </c>
      <c r="AA18" s="316">
        <f t="shared" si="7"/>
        <v>-4.0000000000044444E-3</v>
      </c>
      <c r="AB18" s="11">
        <v>0.96191569583308489</v>
      </c>
      <c r="AC18" s="316">
        <f t="shared" si="8"/>
        <v>0.95791569583308045</v>
      </c>
      <c r="AD18" s="319">
        <f t="shared" si="9"/>
        <v>2.5357051620300552E-2</v>
      </c>
    </row>
    <row r="19" spans="1:30">
      <c r="A19" s="10" t="str">
        <f>name!D16</f>
        <v>42 Secretarial and related occupations</v>
      </c>
      <c r="B19" s="11">
        <f t="shared" si="10"/>
        <v>9.2803332734652084</v>
      </c>
      <c r="C19" s="11">
        <f t="shared" si="10"/>
        <v>5.4074642547867358</v>
      </c>
      <c r="D19" s="11">
        <f t="shared" si="10"/>
        <v>-3.8728690186784744</v>
      </c>
      <c r="E19" s="11">
        <f t="shared" si="10"/>
        <v>3.9957996097654842</v>
      </c>
      <c r="F19" s="11">
        <f t="shared" si="10"/>
        <v>0.12293059108701004</v>
      </c>
      <c r="G19" s="177">
        <f t="shared" si="3"/>
        <v>2.4158564652668968E-2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0.53314682451479967</v>
      </c>
      <c r="K19" s="11">
        <f t="array" ref="K19:K27">MMULT(aggregation!$B$13:$AA$21,C36:C61)</f>
        <v>1.022684963273842</v>
      </c>
      <c r="L19" s="11">
        <f t="array" ref="L19:L27">MMULT(aggregation!$B$13:$AA$21,D36:D61)</f>
        <v>0.4895381387590424</v>
      </c>
      <c r="M19" s="11">
        <f t="array" ref="M19:M27">MMULT(aggregation!$B$13:$AA$21,E36:E61)</f>
        <v>0.40369978959563091</v>
      </c>
      <c r="N19" s="11">
        <f t="array" ref="N19:N27">MMULT(aggregation!$B$13:$AA$21,F36:F61)</f>
        <v>0.89323792835467319</v>
      </c>
      <c r="O19" s="11"/>
      <c r="P19" s="10" t="str">
        <f>name!D16</f>
        <v>42 Secretarial and related occupations</v>
      </c>
      <c r="Q19" s="11">
        <v>0.71673135991795822</v>
      </c>
      <c r="R19" s="11">
        <v>0.72159592784091953</v>
      </c>
      <c r="S19" s="316">
        <f t="shared" si="4"/>
        <v>4.8645679229613048E-3</v>
      </c>
      <c r="T19" s="316">
        <v>0.21982309980314124</v>
      </c>
      <c r="U19" s="316">
        <f t="shared" si="5"/>
        <v>0.22468766772610255</v>
      </c>
      <c r="V19" s="317">
        <f t="shared" si="6"/>
        <v>1.7993742891343256E-2</v>
      </c>
      <c r="X19" s="10" t="str">
        <f>name!B16</f>
        <v>Information technology</v>
      </c>
      <c r="Y19" s="11">
        <v>6.8729999999999887</v>
      </c>
      <c r="Z19" s="11">
        <v>7.3899999999999935</v>
      </c>
      <c r="AA19" s="316">
        <f t="shared" si="7"/>
        <v>0.51700000000000479</v>
      </c>
      <c r="AB19" s="11">
        <v>3.0768802709824463</v>
      </c>
      <c r="AC19" s="316">
        <f t="shared" si="8"/>
        <v>3.5938802709824511</v>
      </c>
      <c r="AD19" s="319">
        <f t="shared" si="9"/>
        <v>2.4970660617368301E-2</v>
      </c>
    </row>
    <row r="20" spans="1:30">
      <c r="A20" s="10" t="str">
        <f>name!D17</f>
        <v>51 Skilled agricultural and related trades</v>
      </c>
      <c r="B20" s="11">
        <f t="shared" si="10"/>
        <v>3.1931450848658702</v>
      </c>
      <c r="C20" s="11">
        <f t="shared" si="10"/>
        <v>3.5350171502669556</v>
      </c>
      <c r="D20" s="11">
        <f t="shared" si="10"/>
        <v>0.3418720654010855</v>
      </c>
      <c r="E20" s="11">
        <f t="shared" si="10"/>
        <v>1.7950590123207246</v>
      </c>
      <c r="F20" s="11">
        <f t="shared" si="10"/>
        <v>2.13693107772181</v>
      </c>
      <c r="G20" s="177">
        <f t="shared" si="3"/>
        <v>3.018456231198785E-2</v>
      </c>
      <c r="H20" s="11"/>
      <c r="I20" s="11" t="str">
        <f t="shared" si="11"/>
        <v>Professional occupations</v>
      </c>
      <c r="J20" s="11">
        <v>5.3714807587830418</v>
      </c>
      <c r="K20" s="11">
        <v>9.723126222159177</v>
      </c>
      <c r="L20" s="11">
        <v>4.3516454633761352</v>
      </c>
      <c r="M20" s="11">
        <v>3.4493816377665252</v>
      </c>
      <c r="N20" s="11">
        <v>7.8010271011426617</v>
      </c>
      <c r="O20" s="11"/>
      <c r="P20" s="10" t="str">
        <f>name!D17</f>
        <v>51 Skilled agricultural and related trades</v>
      </c>
      <c r="Q20" s="11">
        <v>2.619953984996287</v>
      </c>
      <c r="R20" s="11">
        <v>2.7941578191640217</v>
      </c>
      <c r="S20" s="316">
        <f t="shared" si="4"/>
        <v>0.17420383416773477</v>
      </c>
      <c r="T20" s="316">
        <v>1.345558874797504</v>
      </c>
      <c r="U20" s="316">
        <f t="shared" si="5"/>
        <v>1.5197627089652388</v>
      </c>
      <c r="V20" s="317">
        <f t="shared" si="6"/>
        <v>2.8017197440692865E-2</v>
      </c>
      <c r="X20" s="10" t="str">
        <f>name!B17</f>
        <v>Finance and insurance</v>
      </c>
      <c r="Y20" s="11">
        <v>10.441000000000011</v>
      </c>
      <c r="Z20" s="11">
        <v>10.054000000000002</v>
      </c>
      <c r="AA20" s="316">
        <f t="shared" si="7"/>
        <v>-0.38700000000000934</v>
      </c>
      <c r="AB20" s="11">
        <v>4.9698621860407979</v>
      </c>
      <c r="AC20" s="316">
        <f t="shared" si="8"/>
        <v>4.5828621860407885</v>
      </c>
      <c r="AD20" s="319">
        <f t="shared" si="9"/>
        <v>2.6295259133830129E-2</v>
      </c>
    </row>
    <row r="21" spans="1:30">
      <c r="A21" s="10" t="str">
        <f>name!D18</f>
        <v>52 Skilled metal, electrical and electronic trades</v>
      </c>
      <c r="B21" s="11">
        <f t="shared" si="10"/>
        <v>23.236826282247677</v>
      </c>
      <c r="C21" s="11">
        <f t="shared" si="10"/>
        <v>20.841134342227424</v>
      </c>
      <c r="D21" s="11">
        <f t="shared" si="10"/>
        <v>-2.3956919400202512</v>
      </c>
      <c r="E21" s="11">
        <f t="shared" si="10"/>
        <v>8.288991224805331</v>
      </c>
      <c r="F21" s="11">
        <f t="shared" si="10"/>
        <v>5.8932992847850798</v>
      </c>
      <c r="G21" s="177">
        <f t="shared" si="3"/>
        <v>2.0546121151125529E-2</v>
      </c>
      <c r="H21" s="11"/>
      <c r="I21" s="11" t="str">
        <f t="shared" si="11"/>
        <v>Associate professional occupations</v>
      </c>
      <c r="J21" s="11">
        <v>0.59641013872201476</v>
      </c>
      <c r="K21" s="11">
        <v>1.3232424221457277</v>
      </c>
      <c r="L21" s="11">
        <v>0.72683228342371287</v>
      </c>
      <c r="M21" s="11">
        <v>0.44262454311215582</v>
      </c>
      <c r="N21" s="11">
        <v>1.1694568265358687</v>
      </c>
      <c r="O21" s="11"/>
      <c r="P21" s="10" t="str">
        <f>name!D18</f>
        <v>52 Skilled metal, electrical and electronic trades</v>
      </c>
      <c r="Q21" s="11">
        <v>22.785499260413552</v>
      </c>
      <c r="R21" s="11">
        <v>19.96974145302606</v>
      </c>
      <c r="S21" s="316">
        <f t="shared" si="4"/>
        <v>-2.8157578073874916</v>
      </c>
      <c r="T21" s="316">
        <v>7.8661938420712634</v>
      </c>
      <c r="U21" s="316">
        <f t="shared" si="5"/>
        <v>5.0504360346837718</v>
      </c>
      <c r="V21" s="317">
        <f t="shared" si="6"/>
        <v>1.996764305467158E-2</v>
      </c>
      <c r="X21" s="10" t="str">
        <f>name!B18</f>
        <v>Real estate</v>
      </c>
      <c r="Y21" s="11">
        <v>10.240000000000016</v>
      </c>
      <c r="Z21" s="11">
        <v>11.238000000000005</v>
      </c>
      <c r="AA21" s="316">
        <f t="shared" si="7"/>
        <v>0.99799999999998867</v>
      </c>
      <c r="AB21" s="11">
        <v>5.1219408907614294</v>
      </c>
      <c r="AC21" s="316">
        <f t="shared" si="8"/>
        <v>6.1199408907614181</v>
      </c>
      <c r="AD21" s="319">
        <f t="shared" si="9"/>
        <v>2.740831337330718E-2</v>
      </c>
    </row>
    <row r="22" spans="1:30">
      <c r="A22" s="10" t="str">
        <f>name!D19</f>
        <v>53 Skilled construction and building trades</v>
      </c>
      <c r="B22" s="11">
        <f t="shared" si="10"/>
        <v>17.473473402618136</v>
      </c>
      <c r="C22" s="11">
        <f t="shared" si="10"/>
        <v>14.401581227548824</v>
      </c>
      <c r="D22" s="11">
        <f t="shared" si="10"/>
        <v>-3.071892175069312</v>
      </c>
      <c r="E22" s="11">
        <f t="shared" si="10"/>
        <v>6.7757096321665671</v>
      </c>
      <c r="F22" s="11">
        <f t="shared" si="10"/>
        <v>3.7038174570972546</v>
      </c>
      <c r="G22" s="177">
        <f t="shared" si="3"/>
        <v>2.2086984447926783E-2</v>
      </c>
      <c r="H22" s="11"/>
      <c r="I22" s="11" t="str">
        <f t="shared" si="11"/>
        <v>Administrative and secretarial occupations</v>
      </c>
      <c r="J22" s="11">
        <v>0.29995564992565094</v>
      </c>
      <c r="K22" s="11">
        <v>0.69301122187727882</v>
      </c>
      <c r="L22" s="11">
        <v>0.39305557195162788</v>
      </c>
      <c r="M22" s="11">
        <v>0.24718081398055014</v>
      </c>
      <c r="N22" s="11">
        <v>0.64023638593217802</v>
      </c>
      <c r="O22" s="11"/>
      <c r="P22" s="10" t="str">
        <f>name!D19</f>
        <v>53 Skilled construction and building trades</v>
      </c>
      <c r="Q22" s="11">
        <v>17.18800702433489</v>
      </c>
      <c r="R22" s="11">
        <v>14.225624089851634</v>
      </c>
      <c r="S22" s="316">
        <f t="shared" si="4"/>
        <v>-2.9623829344832568</v>
      </c>
      <c r="T22" s="316">
        <v>6.6839103927580013</v>
      </c>
      <c r="U22" s="316">
        <f t="shared" si="5"/>
        <v>3.7215274582747444</v>
      </c>
      <c r="V22" s="317">
        <f t="shared" si="6"/>
        <v>2.214094442404213E-2</v>
      </c>
      <c r="X22" s="10" t="str">
        <f>name!B19</f>
        <v>Professional services</v>
      </c>
      <c r="Y22" s="11">
        <v>24.728999999999964</v>
      </c>
      <c r="Z22" s="11">
        <v>26.893000000000079</v>
      </c>
      <c r="AA22" s="316">
        <f t="shared" si="7"/>
        <v>2.1640000000001152</v>
      </c>
      <c r="AB22" s="11">
        <v>12.093793600835456</v>
      </c>
      <c r="AC22" s="316">
        <f t="shared" si="8"/>
        <v>14.257793600835571</v>
      </c>
      <c r="AD22" s="319">
        <f t="shared" si="9"/>
        <v>2.6898088080160809E-2</v>
      </c>
    </row>
    <row r="23" spans="1:30">
      <c r="A23" s="10" t="str">
        <f>name!D20</f>
        <v>54 Textiles, printing and other skilled trades</v>
      </c>
      <c r="B23" s="11">
        <f t="shared" si="10"/>
        <v>8.3294023293212938</v>
      </c>
      <c r="C23" s="11">
        <f t="shared" si="10"/>
        <v>7.9851910077103723</v>
      </c>
      <c r="D23" s="11">
        <f t="shared" si="10"/>
        <v>-0.34421132161092172</v>
      </c>
      <c r="E23" s="11">
        <f t="shared" si="10"/>
        <v>3.5018666383829524</v>
      </c>
      <c r="F23" s="11">
        <f t="shared" si="10"/>
        <v>3.15765531677203</v>
      </c>
      <c r="G23" s="177">
        <f t="shared" si="3"/>
        <v>2.3672804786869728E-2</v>
      </c>
      <c r="H23" s="11"/>
      <c r="I23" s="11" t="str">
        <f t="shared" si="11"/>
        <v>Skilled trades occupations</v>
      </c>
      <c r="J23" s="11">
        <v>5.2480588730161384E-2</v>
      </c>
      <c r="K23" s="11">
        <v>9.7209394709024843E-2</v>
      </c>
      <c r="L23" s="11">
        <v>4.4728805978863445E-2</v>
      </c>
      <c r="M23" s="11">
        <v>3.5906820431556956E-2</v>
      </c>
      <c r="N23" s="11">
        <v>8.0635626410420408E-2</v>
      </c>
      <c r="O23" s="11"/>
      <c r="P23" s="10" t="str">
        <f>name!D20</f>
        <v>54 Textiles, printing and other skilled trades</v>
      </c>
      <c r="Q23" s="11">
        <v>4.9540421002834485</v>
      </c>
      <c r="R23" s="11">
        <v>4.6900830934789584</v>
      </c>
      <c r="S23" s="316">
        <f t="shared" si="4"/>
        <v>-0.26395900680449014</v>
      </c>
      <c r="T23" s="316">
        <v>1.5748304160157058</v>
      </c>
      <c r="U23" s="316">
        <f t="shared" si="5"/>
        <v>1.3108714092112157</v>
      </c>
      <c r="V23" s="317">
        <f t="shared" si="6"/>
        <v>1.8572389859995875E-2</v>
      </c>
      <c r="X23" s="10" t="str">
        <f>name!B20</f>
        <v>Support services</v>
      </c>
      <c r="Y23" s="11">
        <v>32.168000000000021</v>
      </c>
      <c r="Z23" s="11">
        <v>35.682999999999957</v>
      </c>
      <c r="AA23" s="316">
        <f t="shared" si="7"/>
        <v>3.5149999999999366</v>
      </c>
      <c r="AB23" s="11">
        <v>15.982609175295689</v>
      </c>
      <c r="AC23" s="316">
        <f t="shared" si="8"/>
        <v>19.497609175295626</v>
      </c>
      <c r="AD23" s="319">
        <f t="shared" si="9"/>
        <v>2.725559431354907E-2</v>
      </c>
    </row>
    <row r="24" spans="1:30">
      <c r="A24" s="10" t="str">
        <f>name!D21</f>
        <v>61 Caring personal service occupations</v>
      </c>
      <c r="B24" s="11">
        <f t="shared" si="10"/>
        <v>39.709013980070374</v>
      </c>
      <c r="C24" s="11">
        <f t="shared" si="10"/>
        <v>45.131434884626138</v>
      </c>
      <c r="D24" s="11">
        <f t="shared" si="10"/>
        <v>5.4224209045557696</v>
      </c>
      <c r="E24" s="11">
        <f t="shared" si="10"/>
        <v>24.118414425320019</v>
      </c>
      <c r="F24" s="11">
        <f t="shared" si="10"/>
        <v>29.54083532987579</v>
      </c>
      <c r="G24" s="177">
        <f t="shared" si="3"/>
        <v>3.2146195911036068E-2</v>
      </c>
      <c r="H24" s="11"/>
      <c r="I24" s="11" t="str">
        <f t="shared" si="11"/>
        <v>Caring, leisure and other service occupations</v>
      </c>
      <c r="J24" s="11">
        <v>4.5874008041012521E-2</v>
      </c>
      <c r="K24" s="11">
        <v>0.11172085738503694</v>
      </c>
      <c r="L24" s="11">
        <v>6.5846849344024419E-2</v>
      </c>
      <c r="M24" s="11">
        <v>4.1063924689261837E-2</v>
      </c>
      <c r="N24" s="11">
        <v>0.10691077403328626</v>
      </c>
      <c r="O24" s="11"/>
      <c r="P24" s="10" t="str">
        <f>name!D21</f>
        <v>61 Caring personal service occupations</v>
      </c>
      <c r="Q24" s="11">
        <v>4.2454959953934797</v>
      </c>
      <c r="R24" s="11">
        <v>5.7241065950610333</v>
      </c>
      <c r="S24" s="316">
        <f t="shared" si="4"/>
        <v>1.4786105996675536</v>
      </c>
      <c r="T24" s="316">
        <v>2.2713000587416849</v>
      </c>
      <c r="U24" s="316">
        <f t="shared" si="5"/>
        <v>3.7499106584092385</v>
      </c>
      <c r="V24" s="317">
        <f t="shared" si="6"/>
        <v>2.8980267018085426E-2</v>
      </c>
      <c r="X24" s="10" t="str">
        <f>name!B21</f>
        <v>Public admin. and defence</v>
      </c>
      <c r="Y24" s="11">
        <v>15.280999999999985</v>
      </c>
      <c r="Z24" s="11">
        <v>16.224999999999966</v>
      </c>
      <c r="AA24" s="316">
        <f t="shared" si="7"/>
        <v>0.9439999999999813</v>
      </c>
      <c r="AB24" s="11">
        <v>7.7490210623879223</v>
      </c>
      <c r="AC24" s="316">
        <f t="shared" si="8"/>
        <v>8.6930210623879027</v>
      </c>
      <c r="AD24" s="319">
        <f t="shared" si="9"/>
        <v>2.7723224024122528E-2</v>
      </c>
    </row>
    <row r="25" spans="1:30">
      <c r="A25" s="10" t="str">
        <f>name!D22</f>
        <v>62 Leisure, travel and related personal service occupations</v>
      </c>
      <c r="B25" s="11">
        <f t="shared" si="10"/>
        <v>9.1820078898329704</v>
      </c>
      <c r="C25" s="11">
        <f t="shared" si="10"/>
        <v>8.4132106883947415</v>
      </c>
      <c r="D25" s="11">
        <f t="shared" si="10"/>
        <v>-0.76879720143823049</v>
      </c>
      <c r="E25" s="11">
        <f t="shared" si="10"/>
        <v>4.3570157519509625</v>
      </c>
      <c r="F25" s="11">
        <f t="shared" si="10"/>
        <v>3.5882185505127326</v>
      </c>
      <c r="G25" s="177">
        <f t="shared" si="3"/>
        <v>2.6226706020711976E-2</v>
      </c>
      <c r="H25" s="11"/>
      <c r="I25" s="11" t="str">
        <f t="shared" si="11"/>
        <v>Sales and customer service occupations</v>
      </c>
      <c r="J25" s="11">
        <v>8.5681588323921087E-2</v>
      </c>
      <c r="K25" s="11">
        <v>0.1945502268246089</v>
      </c>
      <c r="L25" s="11">
        <v>0.10886863850068781</v>
      </c>
      <c r="M25" s="11">
        <v>6.0424289716604497E-2</v>
      </c>
      <c r="N25" s="11">
        <v>0.1692929282172923</v>
      </c>
      <c r="O25" s="11"/>
      <c r="P25" s="10" t="str">
        <f>name!D22</f>
        <v>62 Leisure, travel and related personal service occupations</v>
      </c>
      <c r="Q25" s="11">
        <v>2.7586835265309717</v>
      </c>
      <c r="R25" s="11">
        <v>2.7097380111785139</v>
      </c>
      <c r="S25" s="316">
        <f t="shared" si="4"/>
        <v>-4.8945515352457836E-2</v>
      </c>
      <c r="T25" s="316">
        <v>1.1599384990454351</v>
      </c>
      <c r="U25" s="316">
        <f t="shared" si="5"/>
        <v>1.1109929836929773</v>
      </c>
      <c r="V25" s="317">
        <f t="shared" si="6"/>
        <v>2.3675005711881747E-2</v>
      </c>
      <c r="X25" s="10" t="str">
        <f>name!B22</f>
        <v>Education</v>
      </c>
      <c r="Y25" s="11">
        <v>45.063000000000045</v>
      </c>
      <c r="Z25" s="11">
        <v>49.163999999999959</v>
      </c>
      <c r="AA25" s="316">
        <f t="shared" si="7"/>
        <v>4.1009999999999138</v>
      </c>
      <c r="AB25" s="11">
        <v>24.931147358684481</v>
      </c>
      <c r="AC25" s="316">
        <f t="shared" si="8"/>
        <v>29.032147358684394</v>
      </c>
      <c r="AD25" s="319">
        <f t="shared" si="9"/>
        <v>2.9791829548386994E-2</v>
      </c>
    </row>
    <row r="26" spans="1:30">
      <c r="A26" s="10" t="str">
        <f>name!D23</f>
        <v>63 Community and civil enforcement occupations</v>
      </c>
      <c r="B26" s="11">
        <f t="shared" si="10"/>
        <v>0.44693455623107459</v>
      </c>
      <c r="C26" s="11">
        <f t="shared" si="10"/>
        <v>0.37504575772625609</v>
      </c>
      <c r="D26" s="11">
        <f t="shared" si="10"/>
        <v>-7.1888798504818413E-2</v>
      </c>
      <c r="E26" s="11">
        <f t="shared" si="10"/>
        <v>0.17975247429427885</v>
      </c>
      <c r="F26" s="11">
        <f t="shared" si="10"/>
        <v>0.10786367578946038</v>
      </c>
      <c r="G26" s="177">
        <f t="shared" si="3"/>
        <v>2.2791518866453142E-2</v>
      </c>
      <c r="H26" s="11"/>
      <c r="I26" s="11" t="str">
        <f t="shared" si="11"/>
        <v>Process, plant and machine operatives</v>
      </c>
      <c r="J26" s="11">
        <v>7.6031817905234444E-2</v>
      </c>
      <c r="K26" s="11">
        <v>0.24362692875390629</v>
      </c>
      <c r="L26" s="11">
        <v>0.16759511084867185</v>
      </c>
      <c r="M26" s="11">
        <v>8.9357295128726033E-2</v>
      </c>
      <c r="N26" s="11">
        <v>0.25695240597739788</v>
      </c>
      <c r="O26" s="11"/>
      <c r="P26" s="10" t="str">
        <f>name!D23</f>
        <v>63 Community and civil enforcement occupations</v>
      </c>
      <c r="Q26" s="11">
        <v>0.34512232129875436</v>
      </c>
      <c r="R26" s="11">
        <v>0.23596527829199901</v>
      </c>
      <c r="S26" s="316">
        <f t="shared" si="4"/>
        <v>-0.10915704300675536</v>
      </c>
      <c r="T26" s="316">
        <v>9.1710861213524161E-2</v>
      </c>
      <c r="U26" s="316">
        <f t="shared" si="5"/>
        <v>-1.7446181793231194E-2</v>
      </c>
      <c r="V26" s="317">
        <f t="shared" si="6"/>
        <v>1.5834218773109976E-2</v>
      </c>
      <c r="X26" s="10" t="str">
        <f>name!B23</f>
        <v>Health and social work</v>
      </c>
      <c r="Y26" s="11">
        <v>71.770000000000039</v>
      </c>
      <c r="Z26" s="11">
        <v>81.203000000000074</v>
      </c>
      <c r="AA26" s="316">
        <f t="shared" si="7"/>
        <v>9.4330000000000354</v>
      </c>
      <c r="AB26" s="11">
        <v>42.516792904311927</v>
      </c>
      <c r="AC26" s="316">
        <f t="shared" si="8"/>
        <v>51.949792904311963</v>
      </c>
      <c r="AD26" s="319">
        <f t="shared" si="9"/>
        <v>3.150231414542759E-2</v>
      </c>
    </row>
    <row r="27" spans="1:30">
      <c r="A27" s="10" t="str">
        <f>name!D24</f>
        <v>71 Sales occupations</v>
      </c>
      <c r="B27" s="11">
        <f t="shared" ref="B27:F33" si="12">SUM(B56,B85,B114,B143,B172,B201,B230,B259,B288)</f>
        <v>30.250939134766355</v>
      </c>
      <c r="C27" s="11">
        <f t="shared" si="12"/>
        <v>27.81334895228423</v>
      </c>
      <c r="D27" s="11">
        <f t="shared" si="12"/>
        <v>-2.4375901824821269</v>
      </c>
      <c r="E27" s="11">
        <f t="shared" si="12"/>
        <v>13.114092206492909</v>
      </c>
      <c r="F27" s="11">
        <f t="shared" si="12"/>
        <v>10.676502024010782</v>
      </c>
      <c r="G27" s="177">
        <f t="shared" si="3"/>
        <v>2.4298932692945474E-2</v>
      </c>
      <c r="H27" s="11"/>
      <c r="I27" s="11" t="str">
        <f t="shared" si="11"/>
        <v>Elementary occupations</v>
      </c>
      <c r="J27" s="11">
        <v>3.0507158501374185E-2</v>
      </c>
      <c r="K27" s="11">
        <v>6.741489043305457E-2</v>
      </c>
      <c r="L27" s="11">
        <v>3.6907731931680378E-2</v>
      </c>
      <c r="M27" s="11">
        <v>2.5554910491864476E-2</v>
      </c>
      <c r="N27" s="11">
        <v>6.2462642423544858E-2</v>
      </c>
      <c r="O27" s="11"/>
      <c r="P27" s="10" t="str">
        <f>name!D24</f>
        <v>71 Sales occupations</v>
      </c>
      <c r="Q27" s="11">
        <v>13.001901321449159</v>
      </c>
      <c r="R27" s="11">
        <v>12.429160935553112</v>
      </c>
      <c r="S27" s="316">
        <f t="shared" si="4"/>
        <v>-0.57274038589604714</v>
      </c>
      <c r="T27" s="316">
        <v>4.1335378682670898</v>
      </c>
      <c r="U27" s="316">
        <f t="shared" si="5"/>
        <v>3.5607974823710427</v>
      </c>
      <c r="V27" s="317">
        <f t="shared" si="6"/>
        <v>1.8573934485609511E-2</v>
      </c>
      <c r="X27" s="10" t="str">
        <f>name!B24</f>
        <v>Arts and entertainment</v>
      </c>
      <c r="Y27" s="11">
        <v>11.910000000000011</v>
      </c>
      <c r="Z27" s="11">
        <v>11.952999999999991</v>
      </c>
      <c r="AA27" s="316">
        <f t="shared" si="7"/>
        <v>4.2999999999979721E-2</v>
      </c>
      <c r="AB27" s="11">
        <v>5.6124791551918642</v>
      </c>
      <c r="AC27" s="316">
        <f t="shared" si="8"/>
        <v>5.655479155191844</v>
      </c>
      <c r="AD27" s="319">
        <f t="shared" si="9"/>
        <v>2.6074558380135171E-2</v>
      </c>
    </row>
    <row r="28" spans="1:30">
      <c r="A28" s="10" t="str">
        <f>name!D25</f>
        <v>72 Customer service occupations</v>
      </c>
      <c r="B28" s="11">
        <f t="shared" si="12"/>
        <v>9.088846806026746</v>
      </c>
      <c r="C28" s="11">
        <f t="shared" si="12"/>
        <v>11.267733851765342</v>
      </c>
      <c r="D28" s="11">
        <f t="shared" si="12"/>
        <v>2.1788870457385943</v>
      </c>
      <c r="E28" s="11">
        <f t="shared" si="12"/>
        <v>4.6968025709030856</v>
      </c>
      <c r="F28" s="11">
        <f t="shared" si="12"/>
        <v>6.8756896166416794</v>
      </c>
      <c r="G28" s="177">
        <f t="shared" si="3"/>
        <v>2.8161244798928786E-2</v>
      </c>
      <c r="H28" s="11"/>
      <c r="O28" s="11"/>
      <c r="P28" s="10" t="str">
        <f>name!D25</f>
        <v>72 Customer service occupations</v>
      </c>
      <c r="Q28" s="11">
        <v>3.7194792469850886</v>
      </c>
      <c r="R28" s="11">
        <v>5.3492840253357752</v>
      </c>
      <c r="S28" s="316">
        <f t="shared" si="4"/>
        <v>1.6298047783506866</v>
      </c>
      <c r="T28" s="316">
        <v>1.6518113615420877</v>
      </c>
      <c r="U28" s="316">
        <f t="shared" si="5"/>
        <v>3.2816161398927743</v>
      </c>
      <c r="V28" s="317">
        <f t="shared" si="6"/>
        <v>2.4801535240766004E-2</v>
      </c>
      <c r="X28" s="10" t="str">
        <f>name!B25</f>
        <v>Other services</v>
      </c>
      <c r="Y28" s="11">
        <v>12.947000000000006</v>
      </c>
      <c r="Z28" s="11">
        <v>12.594999999999967</v>
      </c>
      <c r="AA28" s="316">
        <f t="shared" si="7"/>
        <v>-0.35200000000003939</v>
      </c>
      <c r="AB28" s="11">
        <v>6.3637936380196916</v>
      </c>
      <c r="AC28" s="316">
        <f t="shared" si="8"/>
        <v>6.0117936380196522</v>
      </c>
      <c r="AD28" s="319">
        <f t="shared" si="9"/>
        <v>2.7011716779052009E-2</v>
      </c>
    </row>
    <row r="29" spans="1:30">
      <c r="A29" s="10" t="str">
        <f>name!D26</f>
        <v>81 Process, plant and machine operatives</v>
      </c>
      <c r="B29" s="11">
        <f t="shared" si="12"/>
        <v>18.382917992462495</v>
      </c>
      <c r="C29" s="11">
        <f t="shared" si="12"/>
        <v>17.514325366127899</v>
      </c>
      <c r="D29" s="11">
        <f t="shared" si="12"/>
        <v>-0.86859262633459</v>
      </c>
      <c r="E29" s="11">
        <f t="shared" si="12"/>
        <v>7.4375734958308177</v>
      </c>
      <c r="F29" s="11">
        <f t="shared" si="12"/>
        <v>6.5689808694962295</v>
      </c>
      <c r="G29" s="177">
        <f t="shared" si="3"/>
        <v>2.2908224133041166E-2</v>
      </c>
      <c r="H29" s="11"/>
      <c r="I29" s="69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14.308197019339588</v>
      </c>
      <c r="R29" s="11">
        <v>12.805010245650058</v>
      </c>
      <c r="S29" s="316">
        <f t="shared" si="4"/>
        <v>-1.5031867736895297</v>
      </c>
      <c r="T29" s="316">
        <v>5.040098817483825</v>
      </c>
      <c r="U29" s="316">
        <f t="shared" si="5"/>
        <v>3.5369120437942954</v>
      </c>
      <c r="V29" s="317">
        <f t="shared" si="6"/>
        <v>2.0321850195674562E-2</v>
      </c>
      <c r="X29" s="208" t="str">
        <f>name!B3</f>
        <v>All industries</v>
      </c>
      <c r="Y29" s="27">
        <f>SUM(Y7:Y28)</f>
        <v>496.19400000000024</v>
      </c>
      <c r="Z29" s="27">
        <f>SUM(Z7:Z28)</f>
        <v>521.94399999999951</v>
      </c>
      <c r="AA29" s="320">
        <f t="shared" si="7"/>
        <v>25.749999999999261</v>
      </c>
      <c r="AB29" s="27">
        <f>SUM(AB7:AB28)</f>
        <v>245.71821360686721</v>
      </c>
      <c r="AC29" s="320">
        <f t="shared" si="8"/>
        <v>271.46821360686647</v>
      </c>
      <c r="AD29" s="321">
        <f t="shared" si="9"/>
        <v>2.7180424293477223E-2</v>
      </c>
    </row>
    <row r="30" spans="1:30">
      <c r="A30" s="10" t="str">
        <f>name!D27</f>
        <v>82 Transport and mobile machine drivers and operatives</v>
      </c>
      <c r="B30" s="11">
        <f t="shared" si="12"/>
        <v>21.975456313535574</v>
      </c>
      <c r="C30" s="11">
        <f t="shared" si="12"/>
        <v>22.685412366481458</v>
      </c>
      <c r="D30" s="11">
        <f t="shared" si="12"/>
        <v>0.70995605294588415</v>
      </c>
      <c r="E30" s="11">
        <f t="shared" si="12"/>
        <v>12.030849316983822</v>
      </c>
      <c r="F30" s="11">
        <f t="shared" si="12"/>
        <v>12.74080536992971</v>
      </c>
      <c r="G30" s="177">
        <f t="shared" si="3"/>
        <v>2.9535761770958402E-2</v>
      </c>
      <c r="H30" s="11"/>
      <c r="I30" s="11" t="str">
        <f>I19</f>
        <v>Managers, directors and senior officials</v>
      </c>
      <c r="J30" s="11">
        <f t="array" ref="J30:J38">MMULT(aggregation!$B$13:$AA$21,B65:B90)</f>
        <v>5.1112366327851504</v>
      </c>
      <c r="K30" s="11">
        <f t="array" ref="K30:K38">MMULT(aggregation!$B$13:$AA$21,C65:C90)</f>
        <v>9.1824859706475301</v>
      </c>
      <c r="L30" s="11">
        <f t="array" ref="L30:L38">MMULT(aggregation!$B$13:$AA$21,D65:D90)</f>
        <v>4.0712493378623797</v>
      </c>
      <c r="M30" s="11">
        <f t="array" ref="M30:M38">MMULT(aggregation!$B$13:$AA$21,E65:E90)</f>
        <v>3.679773400386547</v>
      </c>
      <c r="N30" s="11">
        <f t="array" ref="N30:N38">MMULT(aggregation!$B$13:$AA$21,F65:F90)</f>
        <v>7.7510227382489267</v>
      </c>
      <c r="O30" s="11"/>
      <c r="P30" s="10" t="str">
        <f>name!D27</f>
        <v>82 Transport and mobile machine drivers and operatives</v>
      </c>
      <c r="Q30" s="11">
        <v>21.000512062003565</v>
      </c>
      <c r="R30" s="11">
        <v>21.219555916449671</v>
      </c>
      <c r="S30" s="316">
        <f t="shared" si="4"/>
        <v>0.21904385444610597</v>
      </c>
      <c r="T30" s="316">
        <v>11.179594813782906</v>
      </c>
      <c r="U30" s="316">
        <f t="shared" si="5"/>
        <v>11.398638668229012</v>
      </c>
      <c r="V30" s="317">
        <f t="shared" si="6"/>
        <v>2.8862108740295378E-2</v>
      </c>
      <c r="X30" s="10"/>
      <c r="Y30" s="10"/>
      <c r="Z30" s="10"/>
      <c r="AA30" s="316"/>
      <c r="AB30" s="10"/>
      <c r="AC30" s="316"/>
      <c r="AD30" s="319"/>
    </row>
    <row r="31" spans="1:30">
      <c r="A31" s="10" t="str">
        <f>name!D28</f>
        <v>91 Elementary trades and related occupations</v>
      </c>
      <c r="B31" s="11">
        <f t="shared" si="12"/>
        <v>8.5978945244955725</v>
      </c>
      <c r="C31" s="11">
        <f t="shared" si="12"/>
        <v>16.496787208058883</v>
      </c>
      <c r="D31" s="11">
        <f t="shared" si="12"/>
        <v>7.89889268356331</v>
      </c>
      <c r="E31" s="11">
        <f t="shared" si="12"/>
        <v>7.0499608607004038</v>
      </c>
      <c r="F31" s="11">
        <f t="shared" si="12"/>
        <v>14.948853544263715</v>
      </c>
      <c r="G31" s="177">
        <f t="shared" si="3"/>
        <v>4.072865891566213E-2</v>
      </c>
      <c r="H31" s="11"/>
      <c r="I31" s="11" t="str">
        <f>I20</f>
        <v>Professional occupations</v>
      </c>
      <c r="J31" s="11">
        <v>26.883796985110784</v>
      </c>
      <c r="K31" s="11">
        <v>44.888363952047754</v>
      </c>
      <c r="L31" s="11">
        <v>18.00456696693697</v>
      </c>
      <c r="M31" s="11">
        <v>17.127509980611833</v>
      </c>
      <c r="N31" s="11">
        <v>35.132076947548804</v>
      </c>
      <c r="O31" s="11"/>
      <c r="P31" s="10" t="str">
        <f>name!D28</f>
        <v>91 Elementary trades and related occupations</v>
      </c>
      <c r="Q31" s="11">
        <v>6.6698630780719155</v>
      </c>
      <c r="R31" s="11">
        <v>9.4686811693405577</v>
      </c>
      <c r="S31" s="316">
        <f t="shared" si="4"/>
        <v>2.7988180912686422</v>
      </c>
      <c r="T31" s="316">
        <v>3.0608122110648264</v>
      </c>
      <c r="U31" s="316">
        <f t="shared" si="5"/>
        <v>5.8596303023334686</v>
      </c>
      <c r="V31" s="317">
        <f t="shared" si="6"/>
        <v>2.5498597590912553E-2</v>
      </c>
      <c r="X31" s="10"/>
      <c r="Y31" s="10"/>
      <c r="Z31" s="10"/>
      <c r="AA31" s="316"/>
      <c r="AB31" s="10"/>
      <c r="AC31" s="316"/>
      <c r="AD31" s="319"/>
    </row>
    <row r="32" spans="1:30">
      <c r="A32" s="10" t="str">
        <f>name!D29</f>
        <v>92 Elementary administration and service occupations</v>
      </c>
      <c r="B32" s="11">
        <f t="shared" si="12"/>
        <v>37.688938677596312</v>
      </c>
      <c r="C32" s="11">
        <f t="shared" si="12"/>
        <v>29.48116486327995</v>
      </c>
      <c r="D32" s="11">
        <f t="shared" si="12"/>
        <v>-8.2077738143163561</v>
      </c>
      <c r="E32" s="11">
        <f t="shared" si="12"/>
        <v>15.748027002635254</v>
      </c>
      <c r="F32" s="11">
        <f t="shared" si="12"/>
        <v>7.5402531883188999</v>
      </c>
      <c r="G32" s="177">
        <f t="shared" ref="G32" si="13">IF(B32&gt;0,(1+(E32/B32))^(1/($C$6-$B$6))-1,0)</f>
        <v>2.3548733970955027E-2</v>
      </c>
      <c r="H32" s="11"/>
      <c r="I32" s="11" t="str">
        <f>I21</f>
        <v>Associate professional occupations</v>
      </c>
      <c r="J32" s="11">
        <v>7.1715551210041575</v>
      </c>
      <c r="K32" s="11">
        <v>14.978726735205552</v>
      </c>
      <c r="L32" s="11">
        <v>7.807171614201394</v>
      </c>
      <c r="M32" s="11">
        <v>5.3620204942305492</v>
      </c>
      <c r="N32" s="11">
        <v>13.169192108431943</v>
      </c>
      <c r="O32" s="11"/>
      <c r="P32" s="10" t="str">
        <f>name!D29</f>
        <v>92 Elementary administration and service occupations</v>
      </c>
      <c r="Q32" s="11">
        <v>18.746991875777951</v>
      </c>
      <c r="R32" s="11">
        <v>16.657311828955478</v>
      </c>
      <c r="S32" s="316">
        <f t="shared" ref="S32" si="14">R32-Q32</f>
        <v>-2.0896800468224725</v>
      </c>
      <c r="T32" s="316">
        <v>7.1751543654780026</v>
      </c>
      <c r="U32" s="316">
        <f>SUM(S32:T32)</f>
        <v>5.08547431865553</v>
      </c>
      <c r="V32" s="317">
        <f t="shared" ref="V32" si="15">IF(Q32&gt;0,(1+(T32/Q32))^(1/($C$6-$B$6))-1,0)</f>
        <v>2.1839353382181015E-2</v>
      </c>
      <c r="X32" s="10"/>
      <c r="Y32" s="10"/>
      <c r="Z32" s="10"/>
      <c r="AA32" s="316"/>
      <c r="AB32" s="10"/>
      <c r="AC32" s="316"/>
      <c r="AD32" s="319"/>
    </row>
    <row r="33" spans="1:30">
      <c r="A33" t="str">
        <f>name!D3</f>
        <v>All occupations</v>
      </c>
      <c r="B33" s="11">
        <f t="shared" si="12"/>
        <v>496.19399999999996</v>
      </c>
      <c r="C33" s="11">
        <f>SUM(C62,C91,C120,C149,C178,C207,C236,C265,C294)</f>
        <v>521.94399999999962</v>
      </c>
      <c r="D33" s="11">
        <f t="shared" si="12"/>
        <v>25.74999999999968</v>
      </c>
      <c r="E33" s="11">
        <f t="shared" si="12"/>
        <v>245.71821360686721</v>
      </c>
      <c r="F33" s="11">
        <f t="shared" si="12"/>
        <v>271.46821360686687</v>
      </c>
      <c r="G33" s="177">
        <f t="shared" si="3"/>
        <v>2.7180424293477223E-2</v>
      </c>
      <c r="H33" s="11"/>
      <c r="I33" s="11" t="str">
        <f>I22</f>
        <v>Administrative and secretarial occupations</v>
      </c>
      <c r="J33" s="11">
        <v>3.3864749517445962</v>
      </c>
      <c r="K33" s="11">
        <v>6.3437694323814728</v>
      </c>
      <c r="L33" s="11">
        <v>2.9572944806368762</v>
      </c>
      <c r="M33" s="11">
        <v>2.5647356665600816</v>
      </c>
      <c r="N33" s="11">
        <v>5.5220301471969577</v>
      </c>
      <c r="O33" s="11"/>
      <c r="P33" s="10" t="str">
        <f>name!D3</f>
        <v>All occupations</v>
      </c>
      <c r="Q33" s="11">
        <f>SUM(Q7:Q32)</f>
        <v>265.0994044041413</v>
      </c>
      <c r="R33" s="11">
        <f>SUM(R7:R32)</f>
        <v>273.44446800613349</v>
      </c>
      <c r="S33" s="316">
        <f>R33-Q33</f>
        <v>8.3450636019921944</v>
      </c>
      <c r="T33" s="11">
        <f>SUM(T7:T32)</f>
        <v>108.3397982621365</v>
      </c>
      <c r="U33" s="316">
        <f>SUM(S33:T33)</f>
        <v>116.68486186412869</v>
      </c>
      <c r="V33" s="317">
        <f t="shared" si="6"/>
        <v>2.3106264040359648E-2</v>
      </c>
      <c r="X33" s="10"/>
      <c r="Y33" s="10"/>
      <c r="Z33" s="10"/>
      <c r="AA33" s="316"/>
      <c r="AB33" s="10"/>
      <c r="AC33" s="316"/>
      <c r="AD33" s="319"/>
    </row>
    <row r="34" spans="1:30" ht="30" customHeight="1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0.84091318727945419</v>
      </c>
      <c r="K34" s="11">
        <v>1.8574175637706478</v>
      </c>
      <c r="L34" s="11">
        <v>1.0165043764911936</v>
      </c>
      <c r="M34" s="11">
        <v>0.65360258030886564</v>
      </c>
      <c r="N34" s="11">
        <v>1.6701069568000593</v>
      </c>
      <c r="O34" s="11"/>
      <c r="P34" s="22"/>
      <c r="Q34" s="27"/>
      <c r="R34" s="27"/>
      <c r="S34" s="27"/>
      <c r="T34" s="27"/>
      <c r="U34" s="27"/>
      <c r="V34" s="27"/>
      <c r="X34" s="10"/>
      <c r="Y34" s="10"/>
      <c r="Z34" s="10"/>
      <c r="AA34" s="316"/>
      <c r="AB34" s="10"/>
      <c r="AC34" s="316"/>
      <c r="AD34" s="319"/>
    </row>
    <row r="35" spans="1:30" ht="38.25">
      <c r="A35" s="178" t="str">
        <f>CONCATENATE(name!F4," (Constrained)")</f>
        <v>RQF8 Doctorate (Constrained)</v>
      </c>
      <c r="B35" s="70">
        <f t="shared" ref="B35:G35" si="16">B6</f>
        <v>2020</v>
      </c>
      <c r="C35" s="70">
        <f t="shared" si="16"/>
        <v>2035</v>
      </c>
      <c r="D35" s="70" t="str">
        <f t="shared" si="16"/>
        <v>Net Change</v>
      </c>
      <c r="E35" s="70" t="str">
        <f t="shared" si="16"/>
        <v>Replacement Demand level</v>
      </c>
      <c r="F35" s="70" t="str">
        <f t="shared" si="16"/>
        <v>Total Requirement</v>
      </c>
      <c r="G35" s="70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1.8959100167206917</v>
      </c>
      <c r="K35" s="11">
        <v>5.0361647543834014</v>
      </c>
      <c r="L35" s="11">
        <v>3.1402547376627092</v>
      </c>
      <c r="M35" s="11">
        <v>1.8404831072679528</v>
      </c>
      <c r="N35" s="11">
        <v>4.9807378449306619</v>
      </c>
      <c r="O35" s="11"/>
      <c r="P35" s="178" t="s">
        <v>158</v>
      </c>
      <c r="Q35" s="315">
        <f t="shared" ref="Q35" si="18">B35</f>
        <v>2020</v>
      </c>
      <c r="R35" s="315">
        <f t="shared" ref="R35" si="19">C35</f>
        <v>2035</v>
      </c>
      <c r="S35" s="315" t="str">
        <f t="shared" ref="S35" si="20">D35</f>
        <v>Net Change</v>
      </c>
      <c r="T35" s="315" t="str">
        <f t="shared" ref="T35" si="21">E35</f>
        <v>Replacement Demand level</v>
      </c>
      <c r="U35" s="315" t="str">
        <f t="shared" ref="U35" si="22">F35</f>
        <v>Total Requirement</v>
      </c>
      <c r="V35" s="315" t="str">
        <f t="shared" ref="V35" si="23">G35</f>
        <v>Replacement Demand rate</v>
      </c>
      <c r="X35" s="10"/>
      <c r="Y35" s="10"/>
      <c r="Z35" s="10"/>
      <c r="AA35" s="316"/>
      <c r="AB35" s="10"/>
      <c r="AC35" s="316"/>
      <c r="AD35" s="319"/>
    </row>
    <row r="36" spans="1:30" ht="12.75" customHeight="1">
      <c r="A36" t="str">
        <f t="shared" ref="A36:A62" si="24">A7</f>
        <v>11 Corporate managers and directors</v>
      </c>
      <c r="B36" s="11">
        <v>0.40248138315331627</v>
      </c>
      <c r="C36" s="11">
        <v>0.72566654154476073</v>
      </c>
      <c r="D36" s="11">
        <f>C36-B36</f>
        <v>0.32318515839144446</v>
      </c>
      <c r="E36" s="11">
        <v>0.27787918007691015</v>
      </c>
      <c r="F36" s="11">
        <f>SUM(D36:E36)</f>
        <v>0.60106433846835461</v>
      </c>
      <c r="G36" s="177">
        <f>IF(B36&gt;0,(1+(E36/B36))^(1/($C$6-$B$6))-1,0)</f>
        <v>3.561791751968113E-2</v>
      </c>
      <c r="I36" s="11" t="str">
        <f t="shared" si="17"/>
        <v>Sales and customer service occupations</v>
      </c>
      <c r="J36" s="11">
        <v>1.3394876143691148</v>
      </c>
      <c r="K36" s="11">
        <v>3.268194332786079</v>
      </c>
      <c r="L36" s="11">
        <v>1.9287067184169644</v>
      </c>
      <c r="M36" s="11">
        <v>1.0204459773151067</v>
      </c>
      <c r="N36" s="11">
        <v>2.9491526957320708</v>
      </c>
      <c r="P36" s="10" t="str">
        <f>name!D4</f>
        <v>11 Corporate managers and directors</v>
      </c>
      <c r="Q36" s="11">
        <v>11.015297763742437</v>
      </c>
      <c r="R36" s="11">
        <v>12.622071960941076</v>
      </c>
      <c r="S36" s="316">
        <f>R36-Q36</f>
        <v>1.6067741971986393</v>
      </c>
      <c r="T36" s="316">
        <v>6.7255192892366518</v>
      </c>
      <c r="U36" s="316">
        <f>SUM(S36:T36)</f>
        <v>8.3322934864352902</v>
      </c>
      <c r="V36" s="317">
        <f>IF(Q36&gt;0,(1+(T36/Q36))^(1/($C$6-$B$6))-1,0)</f>
        <v>3.228232601387071E-2</v>
      </c>
      <c r="X36" s="10"/>
      <c r="Y36" s="10"/>
      <c r="Z36" s="10"/>
      <c r="AA36" s="316"/>
      <c r="AB36" s="10"/>
      <c r="AC36" s="316"/>
      <c r="AD36" s="319"/>
    </row>
    <row r="37" spans="1:30">
      <c r="A37" t="str">
        <f t="shared" si="24"/>
        <v>12 Other managers and proprietors</v>
      </c>
      <c r="B37" s="11">
        <v>0.13066544136148342</v>
      </c>
      <c r="C37" s="11">
        <v>0.29701842172908133</v>
      </c>
      <c r="D37" s="11">
        <f t="shared" ref="D37:D60" si="25">C37-B37</f>
        <v>0.16635298036759791</v>
      </c>
      <c r="E37" s="11">
        <v>0.12582060951872073</v>
      </c>
      <c r="F37" s="11">
        <f t="shared" ref="F37:F60" si="26">SUM(D37:E37)</f>
        <v>0.29217358988631864</v>
      </c>
      <c r="G37" s="177">
        <f t="shared" ref="G37:G62" si="27">IF(B37&gt;0,(1+(E37/B37))^(1/($C$6-$B$6))-1,0)</f>
        <v>4.5988397986800322E-2</v>
      </c>
      <c r="I37" s="11" t="str">
        <f t="shared" si="17"/>
        <v>Process, plant and machine operatives</v>
      </c>
      <c r="J37" s="11">
        <v>0.46531697832426244</v>
      </c>
      <c r="K37" s="11">
        <v>1.3516953912996905</v>
      </c>
      <c r="L37" s="11">
        <v>0.88637841297542808</v>
      </c>
      <c r="M37" s="11">
        <v>0.48004039532224618</v>
      </c>
      <c r="N37" s="11">
        <v>1.3664188082976743</v>
      </c>
      <c r="P37" s="10" t="str">
        <f>name!D5</f>
        <v>12 Other managers and proprietors</v>
      </c>
      <c r="Q37" s="11">
        <v>5.8568844128301869</v>
      </c>
      <c r="R37" s="11">
        <v>6.0331290968371736</v>
      </c>
      <c r="S37" s="316">
        <f t="shared" ref="S37:S60" si="28">R37-Q37</f>
        <v>0.17624468400698667</v>
      </c>
      <c r="T37" s="316">
        <v>3.7006962191608381</v>
      </c>
      <c r="U37" s="316">
        <f t="shared" ref="U37:U60" si="29">SUM(S37:T37)</f>
        <v>3.8769409031678248</v>
      </c>
      <c r="V37" s="317">
        <f t="shared" ref="V37:V62" si="30">IF(Q37&gt;0,(1+(T37/Q37))^(1/($C$6-$B$6))-1,0)</f>
        <v>3.3186575198731916E-2</v>
      </c>
      <c r="X37" s="10"/>
      <c r="Y37" s="10"/>
      <c r="Z37" s="10"/>
      <c r="AA37" s="316"/>
      <c r="AB37" s="10"/>
      <c r="AC37" s="316"/>
      <c r="AD37" s="319"/>
    </row>
    <row r="38" spans="1:30">
      <c r="A38" t="str">
        <f t="shared" si="24"/>
        <v>21 Science, research, engineering and technology professionals</v>
      </c>
      <c r="B38" s="11">
        <v>1.2276512560906556</v>
      </c>
      <c r="C38" s="11">
        <v>2.5621667941035926</v>
      </c>
      <c r="D38" s="11">
        <f t="shared" si="25"/>
        <v>1.334515538012937</v>
      </c>
      <c r="E38" s="11">
        <v>0.71304965448868407</v>
      </c>
      <c r="F38" s="11">
        <f t="shared" si="26"/>
        <v>2.0475651925016209</v>
      </c>
      <c r="G38" s="177">
        <f t="shared" si="27"/>
        <v>3.1000572578744334E-2</v>
      </c>
      <c r="I38" s="11" t="str">
        <f t="shared" si="17"/>
        <v>Elementary occupations</v>
      </c>
      <c r="J38" s="11">
        <v>0.81941943645374449</v>
      </c>
      <c r="K38" s="11">
        <v>2.3679642980194044</v>
      </c>
      <c r="L38" s="11">
        <v>1.5485448615656598</v>
      </c>
      <c r="M38" s="11">
        <v>0.8569269125646084</v>
      </c>
      <c r="N38" s="11">
        <v>2.4054717741302682</v>
      </c>
      <c r="P38" s="10" t="str">
        <f>name!D6</f>
        <v>21 Science, research, engineering and technology professionals</v>
      </c>
      <c r="Q38" s="11">
        <v>4.8675743673321961</v>
      </c>
      <c r="R38" s="11">
        <v>8.1593881141135594</v>
      </c>
      <c r="S38" s="316">
        <f t="shared" si="28"/>
        <v>3.2918137467813633</v>
      </c>
      <c r="T38" s="316">
        <v>3.5171021237996292</v>
      </c>
      <c r="U38" s="316">
        <f t="shared" si="29"/>
        <v>6.8089158705809929</v>
      </c>
      <c r="V38" s="317">
        <f t="shared" si="30"/>
        <v>3.6919195785664272E-2</v>
      </c>
      <c r="X38" s="10"/>
      <c r="Y38" s="10"/>
      <c r="Z38" s="10"/>
      <c r="AA38" s="316"/>
      <c r="AB38" s="10"/>
      <c r="AC38" s="316"/>
      <c r="AD38" s="319"/>
    </row>
    <row r="39" spans="1:30">
      <c r="A39" t="str">
        <f t="shared" si="24"/>
        <v>22 Health professionals</v>
      </c>
      <c r="B39" s="11">
        <v>1.7196263864843719</v>
      </c>
      <c r="C39" s="11">
        <v>3.387145550907722</v>
      </c>
      <c r="D39" s="11">
        <f t="shared" si="25"/>
        <v>1.66751916442335</v>
      </c>
      <c r="E39" s="11">
        <v>1.2203614097568625</v>
      </c>
      <c r="F39" s="11">
        <f t="shared" si="26"/>
        <v>2.8878805741802127</v>
      </c>
      <c r="G39" s="177">
        <f t="shared" si="27"/>
        <v>3.6400057675406217E-2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20.01271215751045</v>
      </c>
      <c r="R39" s="11">
        <v>21.371542838754806</v>
      </c>
      <c r="S39" s="316">
        <f t="shared" si="28"/>
        <v>1.3588306812443562</v>
      </c>
      <c r="T39" s="316">
        <v>11.72555408316542</v>
      </c>
      <c r="U39" s="316">
        <f t="shared" si="29"/>
        <v>13.084384764409776</v>
      </c>
      <c r="V39" s="317">
        <f t="shared" si="30"/>
        <v>3.1221161860760516E-2</v>
      </c>
      <c r="X39" s="10"/>
      <c r="Y39" s="10"/>
      <c r="Z39" s="10"/>
      <c r="AA39" s="316"/>
      <c r="AB39" s="10"/>
      <c r="AC39" s="316"/>
      <c r="AD39" s="319"/>
    </row>
    <row r="40" spans="1:30">
      <c r="A40" t="str">
        <f t="shared" si="24"/>
        <v>23 Teaching and other educational professionals</v>
      </c>
      <c r="B40" s="11">
        <v>1.9642150179303035</v>
      </c>
      <c r="C40" s="11">
        <v>2.8432379603695352</v>
      </c>
      <c r="D40" s="11">
        <f>C40-B40</f>
        <v>0.87902294243923174</v>
      </c>
      <c r="E40" s="11">
        <v>1.1871877380213252</v>
      </c>
      <c r="F40" s="11">
        <f>SUM(D40:E40)</f>
        <v>2.0662106804605571</v>
      </c>
      <c r="G40" s="177">
        <f>IF(B40&gt;0,(1+(E40/B40))^(1/($C$6-$B$6))-1,0)</f>
        <v>3.2018919047414496E-2</v>
      </c>
      <c r="I40" s="69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14.881510499738123</v>
      </c>
      <c r="R40" s="11">
        <v>16.343114258621309</v>
      </c>
      <c r="S40" s="316">
        <f t="shared" si="28"/>
        <v>1.4616037588831858</v>
      </c>
      <c r="T40" s="316">
        <v>8.2919219362941554</v>
      </c>
      <c r="U40" s="316">
        <f t="shared" si="29"/>
        <v>9.7535256951773412</v>
      </c>
      <c r="V40" s="317">
        <f t="shared" si="30"/>
        <v>2.9966003619425807E-2</v>
      </c>
      <c r="X40" s="10"/>
      <c r="Y40" s="10"/>
      <c r="Z40" s="10"/>
      <c r="AA40" s="316"/>
      <c r="AB40" s="10"/>
      <c r="AC40" s="316"/>
      <c r="AD40" s="319"/>
    </row>
    <row r="41" spans="1:30">
      <c r="A41" t="str">
        <f t="shared" si="24"/>
        <v>24 Business, media and public service professionals</v>
      </c>
      <c r="B41" s="11">
        <v>0.45998809827771037</v>
      </c>
      <c r="C41" s="11">
        <v>0.93057591677832696</v>
      </c>
      <c r="D41" s="11">
        <f t="shared" si="25"/>
        <v>0.47058781850061659</v>
      </c>
      <c r="E41" s="11">
        <v>0.32878283549965354</v>
      </c>
      <c r="F41" s="11">
        <f t="shared" si="26"/>
        <v>0.79937065400027008</v>
      </c>
      <c r="G41" s="177">
        <f t="shared" si="27"/>
        <v>3.660576603504051E-2</v>
      </c>
      <c r="I41" s="11" t="str">
        <f>I30</f>
        <v>Managers, directors and senior officials</v>
      </c>
      <c r="J41" s="11">
        <f t="array" ref="J41:J49">MMULT(aggregation!$B$13:$AA$21,B94:B119)</f>
        <v>11.934290254809419</v>
      </c>
      <c r="K41" s="11">
        <f t="array" ref="K41:K49">MMULT(aggregation!$B$13:$AA$21,C94:C119)</f>
        <v>13.311565206295265</v>
      </c>
      <c r="L41" s="11">
        <f t="array" ref="L41:L49">MMULT(aggregation!$B$13:$AA$21,D94:D119)</f>
        <v>1.3772749514858456</v>
      </c>
      <c r="M41" s="11">
        <f t="array" ref="M41:M49">MMULT(aggregation!$B$13:$AA$21,E94:E119)</f>
        <v>7.3283357780143881</v>
      </c>
      <c r="N41" s="11">
        <f t="array" ref="N41:N49">MMULT(aggregation!$B$13:$AA$21,F94:F119)</f>
        <v>8.7056107295002327</v>
      </c>
      <c r="P41" s="10" t="str">
        <f>name!D9</f>
        <v>24 Business, media and public service professionals</v>
      </c>
      <c r="Q41" s="11">
        <v>11.742490185681445</v>
      </c>
      <c r="R41" s="11">
        <v>14.099328155504613</v>
      </c>
      <c r="S41" s="316">
        <f t="shared" si="28"/>
        <v>2.3568379698231681</v>
      </c>
      <c r="T41" s="316">
        <v>6.9087270448043849</v>
      </c>
      <c r="U41" s="316">
        <f t="shared" si="29"/>
        <v>9.265565014627553</v>
      </c>
      <c r="V41" s="317">
        <f t="shared" si="30"/>
        <v>3.1327183555329263E-2</v>
      </c>
      <c r="X41" s="10"/>
      <c r="Y41" s="10"/>
      <c r="Z41" s="10"/>
      <c r="AA41" s="316"/>
      <c r="AB41" s="10"/>
      <c r="AC41" s="316"/>
      <c r="AD41" s="319"/>
    </row>
    <row r="42" spans="1:30">
      <c r="A42" t="str">
        <f t="shared" si="24"/>
        <v>31 Science, engineering and technology associate professionals</v>
      </c>
      <c r="B42" s="11">
        <v>0.13320598431175687</v>
      </c>
      <c r="C42" s="11">
        <v>0.2774025258643471</v>
      </c>
      <c r="D42" s="11">
        <f t="shared" si="25"/>
        <v>0.14419654155259023</v>
      </c>
      <c r="E42" s="11">
        <v>8.7973987318718291E-2</v>
      </c>
      <c r="F42" s="11">
        <f t="shared" si="26"/>
        <v>0.23217052887130851</v>
      </c>
      <c r="G42" s="177">
        <f t="shared" si="27"/>
        <v>3.4383229745793997E-2</v>
      </c>
      <c r="I42" s="11" t="str">
        <f>I31</f>
        <v>Professional occupations</v>
      </c>
      <c r="J42" s="11">
        <v>33.659036722005396</v>
      </c>
      <c r="K42" s="11">
        <v>34.142453535262916</v>
      </c>
      <c r="L42" s="11">
        <v>0.48341681325752006</v>
      </c>
      <c r="M42" s="11">
        <v>17.136095996338959</v>
      </c>
      <c r="N42" s="11">
        <v>17.619512809596479</v>
      </c>
      <c r="P42" s="10" t="str">
        <f>name!D10</f>
        <v>31 Science, engineering and technology associate professionals</v>
      </c>
      <c r="Q42" s="11">
        <v>1.9910445740489724</v>
      </c>
      <c r="R42" s="11">
        <v>2.4589707307479522</v>
      </c>
      <c r="S42" s="316">
        <f t="shared" si="28"/>
        <v>0.46792615669897986</v>
      </c>
      <c r="T42" s="316">
        <v>1.1074325386326642</v>
      </c>
      <c r="U42" s="316">
        <f t="shared" si="29"/>
        <v>1.5753586953316441</v>
      </c>
      <c r="V42" s="317">
        <f t="shared" si="30"/>
        <v>2.9922360880029863E-2</v>
      </c>
      <c r="X42" s="10"/>
      <c r="Y42" s="10"/>
      <c r="Z42" s="10"/>
      <c r="AA42" s="316"/>
      <c r="AB42" s="10"/>
      <c r="AC42" s="316"/>
      <c r="AD42" s="319"/>
    </row>
    <row r="43" spans="1:30">
      <c r="A43" t="str">
        <f t="shared" si="24"/>
        <v>32 Health and social care associate professionals</v>
      </c>
      <c r="B43" s="11">
        <v>3.8733213013957192E-2</v>
      </c>
      <c r="C43" s="11">
        <v>0.17991598082202204</v>
      </c>
      <c r="D43" s="11">
        <f t="shared" si="25"/>
        <v>0.14118276780806485</v>
      </c>
      <c r="E43" s="11">
        <v>6.1385037719701913E-2</v>
      </c>
      <c r="F43" s="11">
        <f t="shared" si="26"/>
        <v>0.20256780552776676</v>
      </c>
      <c r="G43" s="177">
        <f t="shared" si="27"/>
        <v>6.5357371557322574E-2</v>
      </c>
      <c r="I43" s="11" t="str">
        <f>I32</f>
        <v>Associate professional occupations</v>
      </c>
      <c r="J43" s="11">
        <v>16.538653305368953</v>
      </c>
      <c r="K43" s="11">
        <v>21.517251742874596</v>
      </c>
      <c r="L43" s="11">
        <v>4.9785984375056485</v>
      </c>
      <c r="M43" s="11">
        <v>10.500980138895615</v>
      </c>
      <c r="N43" s="11">
        <v>15.479578576401266</v>
      </c>
      <c r="P43" s="10" t="str">
        <f>name!D11</f>
        <v>32 Health and social care associate professionals</v>
      </c>
      <c r="Q43" s="11">
        <v>8.5411023673706872</v>
      </c>
      <c r="R43" s="11">
        <v>17.400620944753129</v>
      </c>
      <c r="S43" s="316">
        <f t="shared" si="28"/>
        <v>8.8595185773824419</v>
      </c>
      <c r="T43" s="316">
        <v>8.8702288023545197</v>
      </c>
      <c r="U43" s="316">
        <f t="shared" si="29"/>
        <v>17.729747379736963</v>
      </c>
      <c r="V43" s="317">
        <f t="shared" si="30"/>
        <v>4.8627404559771215E-2</v>
      </c>
      <c r="X43" s="10"/>
      <c r="Y43" s="10"/>
      <c r="Z43" s="10"/>
      <c r="AA43" s="316"/>
      <c r="AB43" s="10"/>
      <c r="AC43" s="316"/>
      <c r="AD43" s="319"/>
    </row>
    <row r="44" spans="1:30">
      <c r="A44" t="str">
        <f t="shared" si="24"/>
        <v>33 Protective service occupations</v>
      </c>
      <c r="B44" s="11">
        <v>2.2432930127284478E-2</v>
      </c>
      <c r="C44" s="11">
        <v>4.7948951707330351E-2</v>
      </c>
      <c r="D44" s="11">
        <f t="shared" si="25"/>
        <v>2.5516021580045872E-2</v>
      </c>
      <c r="E44" s="11">
        <v>1.2652767762226538E-2</v>
      </c>
      <c r="F44" s="11">
        <f t="shared" si="26"/>
        <v>3.8168789342272413E-2</v>
      </c>
      <c r="G44" s="177">
        <f t="shared" si="27"/>
        <v>3.0266569097946228E-2</v>
      </c>
      <c r="I44" s="11" t="str">
        <f>I33</f>
        <v>Administrative and secretarial occupations</v>
      </c>
      <c r="J44" s="11">
        <v>10.567245201680025</v>
      </c>
      <c r="K44" s="11">
        <v>14.685942974415619</v>
      </c>
      <c r="L44" s="11">
        <v>4.1186977727355938</v>
      </c>
      <c r="M44" s="11">
        <v>7.4279971462163044</v>
      </c>
      <c r="N44" s="11">
        <v>11.546694918951898</v>
      </c>
      <c r="P44" s="10" t="str">
        <f>name!D12</f>
        <v>33 Protective service occupations</v>
      </c>
      <c r="Q44" s="11">
        <v>1.2724165885171148</v>
      </c>
      <c r="R44" s="11">
        <v>1.5112739368933152</v>
      </c>
      <c r="S44" s="316">
        <f t="shared" si="28"/>
        <v>0.23885734837620043</v>
      </c>
      <c r="T44" s="316">
        <v>0.61749199436029478</v>
      </c>
      <c r="U44" s="316">
        <f t="shared" si="29"/>
        <v>0.85634934273649521</v>
      </c>
      <c r="V44" s="317">
        <f t="shared" si="30"/>
        <v>2.6724908811912362E-2</v>
      </c>
      <c r="X44" s="10"/>
      <c r="Y44" s="10"/>
      <c r="Z44" s="10"/>
      <c r="AA44" s="316"/>
      <c r="AB44" s="10"/>
      <c r="AC44" s="316"/>
      <c r="AD44" s="319"/>
    </row>
    <row r="45" spans="1:30">
      <c r="A45" t="str">
        <f t="shared" si="24"/>
        <v>34 Culture, media and sports occupations</v>
      </c>
      <c r="B45" s="11">
        <v>7.6039895423084883E-2</v>
      </c>
      <c r="C45" s="11">
        <v>0.12720755046618773</v>
      </c>
      <c r="D45" s="11">
        <f t="shared" ref="D45:D46" si="31">C45-B45</f>
        <v>5.1167655043102847E-2</v>
      </c>
      <c r="E45" s="11">
        <v>4.975127201042237E-2</v>
      </c>
      <c r="F45" s="11">
        <f t="shared" ref="F45:F46" si="32">SUM(D45:E45)</f>
        <v>0.10091892705352522</v>
      </c>
      <c r="G45" s="177">
        <f t="shared" si="27"/>
        <v>3.4127075860955092E-2</v>
      </c>
      <c r="I45" s="11" t="str">
        <f t="shared" ref="I45:I49" si="33">I34</f>
        <v>Skilled trades occupations</v>
      </c>
      <c r="J45" s="11">
        <v>2.4332829361245967</v>
      </c>
      <c r="K45" s="11">
        <v>3.4786046990550288</v>
      </c>
      <c r="L45" s="11">
        <v>1.0453217629304317</v>
      </c>
      <c r="M45" s="11">
        <v>1.6076729456767929</v>
      </c>
      <c r="N45" s="11">
        <v>2.6529947086072245</v>
      </c>
      <c r="P45" s="10" t="str">
        <f>name!D13</f>
        <v>34 Culture, media and sports occupations</v>
      </c>
      <c r="Q45" s="11">
        <v>3.1518429128138599</v>
      </c>
      <c r="R45" s="11">
        <v>3.1045321629251275</v>
      </c>
      <c r="S45" s="316">
        <f t="shared" si="28"/>
        <v>-4.7310749888732406E-2</v>
      </c>
      <c r="T45" s="316">
        <v>1.5776561528281297</v>
      </c>
      <c r="U45" s="316">
        <f t="shared" si="29"/>
        <v>1.5303454029393972</v>
      </c>
      <c r="V45" s="317">
        <f t="shared" si="30"/>
        <v>2.7424786111483135E-2</v>
      </c>
      <c r="X45" s="10"/>
      <c r="Y45" s="10"/>
      <c r="Z45" s="10"/>
      <c r="AA45" s="316"/>
      <c r="AB45" s="10"/>
      <c r="AC45" s="316"/>
      <c r="AD45" s="319"/>
    </row>
    <row r="46" spans="1:30">
      <c r="A46" t="str">
        <f t="shared" si="24"/>
        <v>35 Business and public service associate professionals</v>
      </c>
      <c r="B46" s="11">
        <v>0.32599811584593136</v>
      </c>
      <c r="C46" s="11">
        <v>0.69076741328584046</v>
      </c>
      <c r="D46" s="11">
        <f t="shared" si="31"/>
        <v>0.3647692974399091</v>
      </c>
      <c r="E46" s="11">
        <v>0.23086147830108672</v>
      </c>
      <c r="F46" s="11">
        <f t="shared" si="32"/>
        <v>0.59563077574099577</v>
      </c>
      <c r="G46" s="177">
        <f t="shared" si="27"/>
        <v>3.63394750184729E-2</v>
      </c>
      <c r="I46" s="11" t="str">
        <f t="shared" si="33"/>
        <v>Caring, leisure and other service occupations</v>
      </c>
      <c r="J46" s="11">
        <v>6.0898823651585756</v>
      </c>
      <c r="K46" s="11">
        <v>9.170333181404418</v>
      </c>
      <c r="L46" s="11">
        <v>3.0804508162458433</v>
      </c>
      <c r="M46" s="11">
        <v>5.057674731592491</v>
      </c>
      <c r="N46" s="11">
        <v>8.1381255478383352</v>
      </c>
      <c r="P46" s="10" t="str">
        <f>name!D14</f>
        <v>35 Business and public service associate professionals</v>
      </c>
      <c r="Q46" s="11">
        <v>13.018113488948627</v>
      </c>
      <c r="R46" s="11">
        <v>14.578632487117588</v>
      </c>
      <c r="S46" s="316">
        <f t="shared" si="28"/>
        <v>1.5605189981689609</v>
      </c>
      <c r="T46" s="316">
        <v>7.364189542878889</v>
      </c>
      <c r="U46" s="316">
        <f t="shared" si="29"/>
        <v>8.9247085410478491</v>
      </c>
      <c r="V46" s="317">
        <f t="shared" si="30"/>
        <v>3.0339493077815805E-2</v>
      </c>
      <c r="X46" s="10"/>
      <c r="Y46" s="10"/>
      <c r="Z46" s="10"/>
      <c r="AA46" s="316"/>
      <c r="AB46" s="10"/>
      <c r="AC46" s="316"/>
      <c r="AD46" s="319"/>
    </row>
    <row r="47" spans="1:30">
      <c r="A47" t="str">
        <f t="shared" si="24"/>
        <v>41 Administrative occupations</v>
      </c>
      <c r="B47" s="11">
        <v>0.27930704803573281</v>
      </c>
      <c r="C47" s="11">
        <v>0.64590567538924892</v>
      </c>
      <c r="D47" s="11">
        <f t="shared" si="25"/>
        <v>0.36659862735351612</v>
      </c>
      <c r="E47" s="11">
        <v>0.2270332374664005</v>
      </c>
      <c r="F47" s="11">
        <f t="shared" si="26"/>
        <v>0.59363186481991659</v>
      </c>
      <c r="G47" s="177">
        <f t="shared" si="27"/>
        <v>4.0456767027446272E-2</v>
      </c>
      <c r="I47" s="11" t="str">
        <f t="shared" si="33"/>
        <v>Sales and customer service occupations</v>
      </c>
      <c r="J47" s="11">
        <v>5.3648499109410466</v>
      </c>
      <c r="K47" s="11">
        <v>7.8947348099243397</v>
      </c>
      <c r="L47" s="11">
        <v>2.5298848989832936</v>
      </c>
      <c r="M47" s="11">
        <v>3.5113132109873786</v>
      </c>
      <c r="N47" s="11">
        <v>6.0411981099706722</v>
      </c>
      <c r="P47" s="10" t="str">
        <f>name!D15</f>
        <v>41 Administrative occupations</v>
      </c>
      <c r="Q47" s="11">
        <v>30.967956206585573</v>
      </c>
      <c r="R47" s="11">
        <v>28.468091774549112</v>
      </c>
      <c r="S47" s="316">
        <f t="shared" si="28"/>
        <v>-2.4998644320364605</v>
      </c>
      <c r="T47" s="316">
        <v>17.336256876727532</v>
      </c>
      <c r="U47" s="316">
        <f t="shared" si="29"/>
        <v>14.836392444691072</v>
      </c>
      <c r="V47" s="317">
        <f t="shared" si="30"/>
        <v>3.0081287477458751E-2</v>
      </c>
      <c r="X47" s="10"/>
      <c r="Y47" s="10"/>
      <c r="Z47" s="10"/>
      <c r="AA47" s="316"/>
      <c r="AB47" s="10"/>
      <c r="AC47" s="316"/>
      <c r="AD47" s="319"/>
    </row>
    <row r="48" spans="1:30">
      <c r="A48" t="str">
        <f t="shared" si="24"/>
        <v>42 Secretarial and related occupations</v>
      </c>
      <c r="B48" s="11">
        <v>2.0648601889918135E-2</v>
      </c>
      <c r="C48" s="11">
        <v>4.710554648802992E-2</v>
      </c>
      <c r="D48" s="11">
        <f t="shared" si="25"/>
        <v>2.6456944598111785E-2</v>
      </c>
      <c r="E48" s="11">
        <v>2.0147576514149626E-2</v>
      </c>
      <c r="F48" s="11">
        <f t="shared" si="26"/>
        <v>4.6604521112261411E-2</v>
      </c>
      <c r="G48" s="177">
        <f t="shared" si="27"/>
        <v>4.6442224669738019E-2</v>
      </c>
      <c r="I48" s="11" t="str">
        <f t="shared" si="33"/>
        <v>Process, plant and machine operatives</v>
      </c>
      <c r="J48" s="11">
        <v>1.5141356037799771</v>
      </c>
      <c r="K48" s="11">
        <v>3.2013302892616569</v>
      </c>
      <c r="L48" s="11">
        <v>1.6871946854816793</v>
      </c>
      <c r="M48" s="11">
        <v>1.4539459222240763</v>
      </c>
      <c r="N48" s="11">
        <v>3.1411406077057555</v>
      </c>
      <c r="P48" s="10" t="str">
        <f>name!D16</f>
        <v>42 Secretarial and related occupations</v>
      </c>
      <c r="Q48" s="11">
        <v>8.5636019135472488</v>
      </c>
      <c r="R48" s="11">
        <v>4.6858683269458146</v>
      </c>
      <c r="S48" s="316">
        <f t="shared" si="28"/>
        <v>-3.8777335866014342</v>
      </c>
      <c r="T48" s="316">
        <v>3.7759765099623435</v>
      </c>
      <c r="U48" s="316">
        <f t="shared" si="29"/>
        <v>-0.10175707663909073</v>
      </c>
      <c r="V48" s="317">
        <f t="shared" si="30"/>
        <v>2.465168080879665E-2</v>
      </c>
      <c r="X48" s="10"/>
      <c r="Y48" s="10"/>
      <c r="Z48" s="10"/>
      <c r="AA48" s="316"/>
      <c r="AB48" s="10"/>
      <c r="AC48" s="316"/>
      <c r="AD48" s="319"/>
    </row>
    <row r="49" spans="1:30">
      <c r="A49" t="str">
        <f t="shared" si="24"/>
        <v>51 Skilled agricultural and related trades</v>
      </c>
      <c r="B49" s="11">
        <v>6.4874057331890146E-3</v>
      </c>
      <c r="C49" s="11">
        <v>1.572014713133163E-2</v>
      </c>
      <c r="D49" s="11">
        <f t="shared" si="25"/>
        <v>9.2327413981426153E-3</v>
      </c>
      <c r="E49" s="11">
        <v>6.3409754340996221E-3</v>
      </c>
      <c r="F49" s="11">
        <f t="shared" si="26"/>
        <v>1.5573716832242238E-2</v>
      </c>
      <c r="G49" s="177">
        <f t="shared" si="27"/>
        <v>4.65019767475503E-2</v>
      </c>
      <c r="I49" s="11" t="str">
        <f t="shared" si="33"/>
        <v>Elementary occupations</v>
      </c>
      <c r="J49" s="11">
        <v>2.9318055667865814</v>
      </c>
      <c r="K49" s="11">
        <v>4.8945639170735902</v>
      </c>
      <c r="L49" s="11">
        <v>1.9627583502870092</v>
      </c>
      <c r="M49" s="11">
        <v>2.7116992526103894</v>
      </c>
      <c r="N49" s="11">
        <v>4.6744576028973981</v>
      </c>
      <c r="P49" s="10" t="str">
        <f>name!D17</f>
        <v>51 Skilled agricultural and related trades</v>
      </c>
      <c r="Q49" s="11">
        <v>0.57319109986958328</v>
      </c>
      <c r="R49" s="11">
        <v>0.74085933110293289</v>
      </c>
      <c r="S49" s="316">
        <f t="shared" si="28"/>
        <v>0.16766823123334962</v>
      </c>
      <c r="T49" s="316">
        <v>0.44950013752322021</v>
      </c>
      <c r="U49" s="316">
        <f t="shared" si="29"/>
        <v>0.61716836875656989</v>
      </c>
      <c r="V49" s="317">
        <f t="shared" si="30"/>
        <v>3.935283843647186E-2</v>
      </c>
      <c r="X49" s="10"/>
      <c r="Y49" s="10"/>
      <c r="Z49" s="10"/>
      <c r="AA49" s="316"/>
      <c r="AB49" s="10"/>
      <c r="AC49" s="316"/>
      <c r="AD49" s="319"/>
    </row>
    <row r="50" spans="1:30">
      <c r="A50" t="str">
        <f t="shared" si="24"/>
        <v>52 Skilled metal, electrical and electronic trades</v>
      </c>
      <c r="B50" s="11">
        <v>1.1464323518649107E-2</v>
      </c>
      <c r="C50" s="11">
        <v>2.070960367488189E-2</v>
      </c>
      <c r="D50" s="11">
        <f t="shared" si="25"/>
        <v>9.2452801562327835E-3</v>
      </c>
      <c r="E50" s="11">
        <v>6.5510052622770026E-3</v>
      </c>
      <c r="F50" s="11">
        <f t="shared" si="26"/>
        <v>1.5796285418509786E-2</v>
      </c>
      <c r="G50" s="177">
        <f t="shared" si="27"/>
        <v>3.0590774812670363E-2</v>
      </c>
      <c r="O50" s="56"/>
      <c r="P50" s="10" t="str">
        <f>name!D18</f>
        <v>52 Skilled metal, electrical and electronic trades</v>
      </c>
      <c r="Q50" s="11">
        <v>0.45132702183413442</v>
      </c>
      <c r="R50" s="11">
        <v>0.8713928892013374</v>
      </c>
      <c r="S50" s="316">
        <f t="shared" si="28"/>
        <v>0.42006586736720297</v>
      </c>
      <c r="T50" s="316">
        <v>0.42279738273406742</v>
      </c>
      <c r="U50" s="316">
        <f t="shared" si="29"/>
        <v>0.84286325010127039</v>
      </c>
      <c r="V50" s="317">
        <f t="shared" si="30"/>
        <v>4.5054149332628635E-2</v>
      </c>
      <c r="X50" s="10"/>
      <c r="Y50" s="10"/>
      <c r="Z50" s="10"/>
      <c r="AA50" s="316"/>
      <c r="AB50" s="10"/>
      <c r="AC50" s="316"/>
      <c r="AD50" s="319"/>
    </row>
    <row r="51" spans="1:30">
      <c r="A51" t="str">
        <f t="shared" si="24"/>
        <v>53 Skilled construction and building trades</v>
      </c>
      <c r="B51" s="11">
        <v>3.5356937275610512E-3</v>
      </c>
      <c r="C51" s="11">
        <v>5.1183749533666098E-3</v>
      </c>
      <c r="D51" s="11">
        <f t="shared" ref="D51" si="34">C51-B51</f>
        <v>1.5826812258055586E-3</v>
      </c>
      <c r="E51" s="11">
        <v>1.9416398422667657E-3</v>
      </c>
      <c r="F51" s="11">
        <f t="shared" ref="F51" si="35">SUM(D51:E51)</f>
        <v>3.5243210680723242E-3</v>
      </c>
      <c r="G51" s="177">
        <f t="shared" si="27"/>
        <v>2.9610517258678914E-2</v>
      </c>
      <c r="I51" s="69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0.28546637828323057</v>
      </c>
      <c r="R51" s="11">
        <v>0.17595713769719329</v>
      </c>
      <c r="S51" s="316">
        <f t="shared" si="28"/>
        <v>-0.10950924058603728</v>
      </c>
      <c r="T51" s="316">
        <v>9.1799239408565714E-2</v>
      </c>
      <c r="U51" s="316">
        <f t="shared" si="29"/>
        <v>-1.7710001177471568E-2</v>
      </c>
      <c r="V51" s="317">
        <f t="shared" si="30"/>
        <v>1.8762188000802205E-2</v>
      </c>
      <c r="X51" s="10"/>
      <c r="Y51" s="10"/>
      <c r="Z51" s="10"/>
      <c r="AA51" s="316"/>
      <c r="AB51" s="10"/>
      <c r="AC51" s="316"/>
      <c r="AD51" s="319"/>
    </row>
    <row r="52" spans="1:30">
      <c r="A52" t="str">
        <f t="shared" si="24"/>
        <v>54 Textiles, printing and other skilled trades</v>
      </c>
      <c r="B52" s="11">
        <v>3.0993165750762212E-2</v>
      </c>
      <c r="C52" s="11">
        <v>5.5661268949444703E-2</v>
      </c>
      <c r="D52" s="11">
        <f t="shared" si="25"/>
        <v>2.4668103198682491E-2</v>
      </c>
      <c r="E52" s="11">
        <v>2.1073199892913567E-2</v>
      </c>
      <c r="F52" s="11">
        <f t="shared" si="26"/>
        <v>4.5741303091596061E-2</v>
      </c>
      <c r="G52" s="177">
        <f t="shared" si="27"/>
        <v>3.5188459325830257E-2</v>
      </c>
      <c r="I52" s="11" t="str">
        <f>I41</f>
        <v>Managers, directors and senior officials</v>
      </c>
      <c r="J52" s="11">
        <f t="array" ref="J52:J60">MMULT(aggregation!$B$13:$AA$21,B123:B148)</f>
        <v>2.7627617087065151</v>
      </c>
      <c r="K52" s="11">
        <f t="array" ref="K52:K60">MMULT(aggregation!$B$13:$AA$21,C123:C148)</f>
        <v>2.8742882181858453</v>
      </c>
      <c r="L52" s="11">
        <f t="array" ref="L52:L60">MMULT(aggregation!$B$13:$AA$21,D123:D148)</f>
        <v>0.11152650947933029</v>
      </c>
      <c r="M52" s="11">
        <f t="array" ref="M52:M60">MMULT(aggregation!$B$13:$AA$21,E123:E148)</f>
        <v>1.5337321971413367</v>
      </c>
      <c r="N52" s="11">
        <f t="array" ref="N52:N60">MMULT(aggregation!$B$13:$AA$21,F123:F148)</f>
        <v>1.645258706620667</v>
      </c>
      <c r="P52" s="10" t="str">
        <f>name!D20</f>
        <v>54 Textiles, printing and other skilled trades</v>
      </c>
      <c r="Q52" s="11">
        <v>3.3753602290378462</v>
      </c>
      <c r="R52" s="11">
        <v>3.2951079142314197</v>
      </c>
      <c r="S52" s="316">
        <f t="shared" si="28"/>
        <v>-8.0252314806426472E-2</v>
      </c>
      <c r="T52" s="316">
        <v>1.9270362223672461</v>
      </c>
      <c r="U52" s="316">
        <f t="shared" si="29"/>
        <v>1.8467839075608197</v>
      </c>
      <c r="V52" s="317">
        <f t="shared" si="30"/>
        <v>3.0568359153503977E-2</v>
      </c>
      <c r="X52" s="10"/>
      <c r="Y52" s="10"/>
      <c r="Z52" s="10"/>
      <c r="AA52" s="316"/>
      <c r="AB52" s="10"/>
      <c r="AC52" s="316"/>
      <c r="AD52" s="319"/>
    </row>
    <row r="53" spans="1:30">
      <c r="A53" t="str">
        <f t="shared" si="24"/>
        <v>61 Caring personal service occupations</v>
      </c>
      <c r="B53" s="11">
        <v>2.7400915804108666E-2</v>
      </c>
      <c r="C53" s="11">
        <v>6.7065464722826443E-2</v>
      </c>
      <c r="D53" s="11">
        <f t="shared" si="25"/>
        <v>3.9664548918717776E-2</v>
      </c>
      <c r="E53" s="11">
        <v>2.3928765106065175E-2</v>
      </c>
      <c r="F53" s="11">
        <f t="shared" si="26"/>
        <v>6.3593314024782951E-2</v>
      </c>
      <c r="G53" s="177">
        <f t="shared" si="27"/>
        <v>4.2734074711584968E-2</v>
      </c>
      <c r="I53" s="11" t="str">
        <f>I42</f>
        <v>Professional occupations</v>
      </c>
      <c r="J53" s="11">
        <v>5.8205981774694173</v>
      </c>
      <c r="K53" s="11">
        <v>2.9979807781077508</v>
      </c>
      <c r="L53" s="11">
        <v>-2.8226173993616666</v>
      </c>
      <c r="M53" s="11">
        <v>1.4687599287316189</v>
      </c>
      <c r="N53" s="11">
        <v>-1.3538574706300475</v>
      </c>
      <c r="P53" s="10" t="str">
        <f>name!D21</f>
        <v>61 Caring personal service occupations</v>
      </c>
      <c r="Q53" s="11">
        <v>35.463517984676812</v>
      </c>
      <c r="R53" s="11">
        <v>39.407328289565072</v>
      </c>
      <c r="S53" s="316">
        <f t="shared" si="28"/>
        <v>3.9438103048882596</v>
      </c>
      <c r="T53" s="316">
        <v>21.847114366578332</v>
      </c>
      <c r="U53" s="316">
        <f t="shared" si="29"/>
        <v>25.790924671466591</v>
      </c>
      <c r="V53" s="317">
        <f t="shared" si="30"/>
        <v>3.2516242654331506E-2</v>
      </c>
      <c r="X53" s="10"/>
      <c r="Y53" s="10"/>
      <c r="Z53" s="10"/>
      <c r="AA53" s="316"/>
      <c r="AB53" s="10"/>
      <c r="AC53" s="316"/>
      <c r="AD53" s="319"/>
    </row>
    <row r="54" spans="1:30">
      <c r="A54" t="str">
        <f t="shared" si="24"/>
        <v>62 Leisure, travel and related personal service occupations</v>
      </c>
      <c r="B54" s="11">
        <v>1.7170951827122732E-2</v>
      </c>
      <c r="C54" s="11">
        <v>4.1563315723296947E-2</v>
      </c>
      <c r="D54" s="11">
        <f t="shared" ref="D54:D55" si="36">C54-B54</f>
        <v>2.4392363896174215E-2</v>
      </c>
      <c r="E54" s="11">
        <v>1.5903922695022374E-2</v>
      </c>
      <c r="F54" s="11">
        <f t="shared" ref="F54:F55" si="37">SUM(D54:E54)</f>
        <v>4.0296286591196592E-2</v>
      </c>
      <c r="G54" s="177">
        <f t="shared" si="27"/>
        <v>4.4672724248110862E-2</v>
      </c>
      <c r="I54" s="11" t="str">
        <f>I43</f>
        <v>Associate professional occupations</v>
      </c>
      <c r="J54" s="11">
        <v>5.1461363249057088</v>
      </c>
      <c r="K54" s="11">
        <v>5.1670326030842606</v>
      </c>
      <c r="L54" s="11">
        <v>2.0896278178551886E-2</v>
      </c>
      <c r="M54" s="11">
        <v>2.4705746891869005</v>
      </c>
      <c r="N54" s="11">
        <v>2.4914709673654523</v>
      </c>
      <c r="P54" s="10" t="str">
        <f>name!D22</f>
        <v>62 Leisure, travel and related personal service occupations</v>
      </c>
      <c r="Q54" s="11">
        <v>6.4233243633020036</v>
      </c>
      <c r="R54" s="11">
        <v>5.7034726772162196</v>
      </c>
      <c r="S54" s="316">
        <f t="shared" si="28"/>
        <v>-0.71985168608578398</v>
      </c>
      <c r="T54" s="316">
        <v>3.1970772529055282</v>
      </c>
      <c r="U54" s="316">
        <f t="shared" si="29"/>
        <v>2.4772255668197443</v>
      </c>
      <c r="V54" s="317">
        <f t="shared" si="30"/>
        <v>2.7295904229523105E-2</v>
      </c>
      <c r="X54" s="10"/>
      <c r="Y54" s="10"/>
      <c r="Z54" s="10"/>
      <c r="AA54" s="316"/>
      <c r="AB54" s="10"/>
      <c r="AC54" s="316"/>
      <c r="AD54" s="319"/>
    </row>
    <row r="55" spans="1:30">
      <c r="A55" t="str">
        <f t="shared" si="24"/>
        <v>63 Community and civil enforcement occupations</v>
      </c>
      <c r="B55" s="11">
        <v>1.3021404097811192E-3</v>
      </c>
      <c r="C55" s="11">
        <v>3.0920769389135498E-3</v>
      </c>
      <c r="D55" s="11">
        <f t="shared" si="36"/>
        <v>1.7899365291324306E-3</v>
      </c>
      <c r="E55" s="11">
        <v>1.2312368881742895E-3</v>
      </c>
      <c r="F55" s="11">
        <f t="shared" si="37"/>
        <v>3.0211734173067198E-3</v>
      </c>
      <c r="G55" s="177">
        <f t="shared" si="27"/>
        <v>4.5368647104734983E-2</v>
      </c>
      <c r="I55" s="11" t="str">
        <f>I44</f>
        <v>Administrative and secretarial occupations</v>
      </c>
      <c r="J55" s="11">
        <v>4.1342746836373365</v>
      </c>
      <c r="K55" s="11">
        <v>5.309478316903129</v>
      </c>
      <c r="L55" s="11">
        <v>1.1752036332657927</v>
      </c>
      <c r="M55" s="11">
        <v>2.8841706982875501</v>
      </c>
      <c r="N55" s="11">
        <v>4.059374331553343</v>
      </c>
      <c r="P55" s="10" t="str">
        <f>name!D23</f>
        <v>63 Community and civil enforcement occupations</v>
      </c>
      <c r="Q55" s="11">
        <v>0.10181223493232026</v>
      </c>
      <c r="R55" s="11">
        <v>0.1390804794342573</v>
      </c>
      <c r="S55" s="316">
        <f t="shared" si="28"/>
        <v>3.726824450193704E-2</v>
      </c>
      <c r="T55" s="316">
        <v>8.8041613080754672E-2</v>
      </c>
      <c r="U55" s="316">
        <f t="shared" si="29"/>
        <v>0.1253098575826917</v>
      </c>
      <c r="V55" s="317">
        <f t="shared" si="30"/>
        <v>4.2416544400583289E-2</v>
      </c>
      <c r="X55" s="10"/>
      <c r="Y55" s="10"/>
      <c r="Z55" s="10"/>
      <c r="AA55" s="316"/>
      <c r="AB55" s="10"/>
      <c r="AC55" s="316"/>
      <c r="AD55" s="319"/>
    </row>
    <row r="56" spans="1:30">
      <c r="A56" t="str">
        <f t="shared" si="24"/>
        <v>71 Sales occupations</v>
      </c>
      <c r="B56" s="11">
        <v>5.1521421466505117E-2</v>
      </c>
      <c r="C56" s="11">
        <v>9.5067951478678192E-2</v>
      </c>
      <c r="D56" s="11">
        <f t="shared" si="25"/>
        <v>4.3546530012173075E-2</v>
      </c>
      <c r="E56" s="11">
        <v>3.1876301012604608E-2</v>
      </c>
      <c r="F56" s="11">
        <f t="shared" si="26"/>
        <v>7.5422831024777676E-2</v>
      </c>
      <c r="G56" s="177">
        <f t="shared" si="27"/>
        <v>3.2629252364551053E-2</v>
      </c>
      <c r="I56" s="11" t="str">
        <f t="shared" ref="I56:I60" si="38">I45</f>
        <v>Skilled trades occupations</v>
      </c>
      <c r="J56" s="11">
        <v>1.1368674248024893</v>
      </c>
      <c r="K56" s="11">
        <v>1.5159837937321257</v>
      </c>
      <c r="L56" s="11">
        <v>0.37911636892963635</v>
      </c>
      <c r="M56" s="11">
        <v>0.70593567000945745</v>
      </c>
      <c r="N56" s="11">
        <v>1.0850520389390939</v>
      </c>
      <c r="P56" s="10" t="str">
        <f>name!D24</f>
        <v>71 Sales occupations</v>
      </c>
      <c r="Q56" s="11">
        <v>17.249037813317205</v>
      </c>
      <c r="R56" s="11">
        <v>15.384188016731123</v>
      </c>
      <c r="S56" s="316">
        <f t="shared" si="28"/>
        <v>-1.864849796586082</v>
      </c>
      <c r="T56" s="316">
        <v>8.9805543382258222</v>
      </c>
      <c r="U56" s="316">
        <f t="shared" si="29"/>
        <v>7.1157045416397402</v>
      </c>
      <c r="V56" s="317">
        <f t="shared" si="30"/>
        <v>2.8336168212629742E-2</v>
      </c>
      <c r="X56" s="10"/>
      <c r="Y56" s="10"/>
      <c r="Z56" s="10"/>
      <c r="AA56" s="316"/>
      <c r="AB56" s="10"/>
      <c r="AC56" s="316"/>
      <c r="AD56" s="319"/>
    </row>
    <row r="57" spans="1:30">
      <c r="A57" t="str">
        <f t="shared" si="24"/>
        <v>72 Customer service occupations</v>
      </c>
      <c r="B57" s="11">
        <v>3.416016685741597E-2</v>
      </c>
      <c r="C57" s="11">
        <v>9.948227534593071E-2</v>
      </c>
      <c r="D57" s="11">
        <f t="shared" si="25"/>
        <v>6.5322108488514746E-2</v>
      </c>
      <c r="E57" s="11">
        <v>2.8547988703999889E-2</v>
      </c>
      <c r="F57" s="11">
        <f t="shared" si="26"/>
        <v>9.3870097192514629E-2</v>
      </c>
      <c r="G57" s="177">
        <f t="shared" si="27"/>
        <v>4.1326537530648855E-2</v>
      </c>
      <c r="I57" s="11" t="str">
        <f t="shared" si="38"/>
        <v>Caring, leisure and other service occupations</v>
      </c>
      <c r="J57" s="11">
        <v>4.8476116953879034</v>
      </c>
      <c r="K57" s="11">
        <v>5.3076762227717236</v>
      </c>
      <c r="L57" s="11">
        <v>0.46006452738382003</v>
      </c>
      <c r="M57" s="11">
        <v>2.9603791092214453</v>
      </c>
      <c r="N57" s="11">
        <v>3.4204436366052651</v>
      </c>
      <c r="P57" s="10" t="str">
        <f>name!D25</f>
        <v>72 Customer service occupations</v>
      </c>
      <c r="Q57" s="11">
        <v>5.3693675590416552</v>
      </c>
      <c r="R57" s="11">
        <v>5.9184498264295753</v>
      </c>
      <c r="S57" s="316">
        <f t="shared" si="28"/>
        <v>0.5490822673879201</v>
      </c>
      <c r="T57" s="316">
        <v>3.0449912093609983</v>
      </c>
      <c r="U57" s="316">
        <f t="shared" si="29"/>
        <v>3.5940734767489184</v>
      </c>
      <c r="V57" s="317">
        <f t="shared" si="30"/>
        <v>3.0401603963363E-2</v>
      </c>
      <c r="X57" s="10"/>
      <c r="Y57" s="10"/>
      <c r="Z57" s="10"/>
      <c r="AA57" s="316"/>
      <c r="AB57" s="10"/>
      <c r="AC57" s="316"/>
      <c r="AD57" s="319"/>
    </row>
    <row r="58" spans="1:30">
      <c r="A58" t="str">
        <f t="shared" si="24"/>
        <v>81 Process, plant and machine operatives</v>
      </c>
      <c r="B58" s="11">
        <v>3.1135425553467398E-2</v>
      </c>
      <c r="C58" s="11">
        <v>0.10711885005811664</v>
      </c>
      <c r="D58" s="11">
        <f t="shared" ref="D58:D59" si="39">C58-B58</f>
        <v>7.5983424504649233E-2</v>
      </c>
      <c r="E58" s="11">
        <v>3.5477063816658376E-2</v>
      </c>
      <c r="F58" s="11">
        <f t="shared" ref="F58:F59" si="40">SUM(D58:E58)</f>
        <v>0.11146048832130762</v>
      </c>
      <c r="G58" s="177">
        <f t="shared" si="27"/>
        <v>5.2010458129306381E-2</v>
      </c>
      <c r="I58" s="11" t="str">
        <f t="shared" si="38"/>
        <v>Sales and customer service occupations</v>
      </c>
      <c r="J58" s="11">
        <v>1.7815931584141571</v>
      </c>
      <c r="K58" s="11">
        <v>2.4304582774908186</v>
      </c>
      <c r="L58" s="11">
        <v>0.64886511907666122</v>
      </c>
      <c r="M58" s="11">
        <v>1.1013408491889878</v>
      </c>
      <c r="N58" s="11">
        <v>1.7502059682656488</v>
      </c>
      <c r="P58" s="10" t="str">
        <f>name!D26</f>
        <v>81 Process, plant and machine operatives</v>
      </c>
      <c r="Q58" s="11">
        <v>4.0747209731229184</v>
      </c>
      <c r="R58" s="11">
        <v>4.7093151204778412</v>
      </c>
      <c r="S58" s="316">
        <f t="shared" si="28"/>
        <v>0.63459414735492281</v>
      </c>
      <c r="T58" s="316">
        <v>2.3974746783469936</v>
      </c>
      <c r="U58" s="316">
        <f t="shared" si="29"/>
        <v>3.0320688257019164</v>
      </c>
      <c r="V58" s="317">
        <f t="shared" si="30"/>
        <v>3.1328258224083028E-2</v>
      </c>
      <c r="X58" s="10"/>
      <c r="Y58" s="10"/>
      <c r="Z58" s="10"/>
      <c r="AA58" s="316"/>
      <c r="AB58" s="10"/>
      <c r="AC58" s="316"/>
      <c r="AD58" s="319"/>
    </row>
    <row r="59" spans="1:30">
      <c r="A59" t="str">
        <f t="shared" si="24"/>
        <v>82 Transport and mobile machine drivers and operatives</v>
      </c>
      <c r="B59" s="11">
        <v>4.4896392351767039E-2</v>
      </c>
      <c r="C59" s="11">
        <v>0.13650807869578965</v>
      </c>
      <c r="D59" s="11">
        <f t="shared" si="39"/>
        <v>9.1611686344022614E-2</v>
      </c>
      <c r="E59" s="11">
        <v>5.388023131206765E-2</v>
      </c>
      <c r="F59" s="11">
        <f t="shared" si="40"/>
        <v>0.14549191765609026</v>
      </c>
      <c r="G59" s="177">
        <f t="shared" si="27"/>
        <v>5.397307270781404E-2</v>
      </c>
      <c r="I59" s="11" t="str">
        <f t="shared" si="38"/>
        <v>Process, plant and machine operatives</v>
      </c>
      <c r="J59" s="11">
        <v>0.73893935557556789</v>
      </c>
      <c r="K59" s="11">
        <v>1.1748525067497022</v>
      </c>
      <c r="L59" s="11">
        <v>0.43591315117413421</v>
      </c>
      <c r="M59" s="11">
        <v>0.5594079778657739</v>
      </c>
      <c r="N59" s="11">
        <v>0.9953211290399081</v>
      </c>
      <c r="P59" s="10" t="str">
        <f>name!D27</f>
        <v>82 Transport and mobile machine drivers and operatives</v>
      </c>
      <c r="Q59" s="11">
        <v>0.9749442515319815</v>
      </c>
      <c r="R59" s="11">
        <v>1.4658564500317817</v>
      </c>
      <c r="S59" s="316">
        <f t="shared" si="28"/>
        <v>0.49091219849980017</v>
      </c>
      <c r="T59" s="316">
        <v>0.85125450320091711</v>
      </c>
      <c r="U59" s="316">
        <f t="shared" si="29"/>
        <v>1.3421667017007173</v>
      </c>
      <c r="V59" s="317">
        <f t="shared" si="30"/>
        <v>4.2728436112739798E-2</v>
      </c>
      <c r="X59" s="10"/>
      <c r="Y59" s="10"/>
      <c r="Z59" s="10"/>
      <c r="AA59" s="316"/>
      <c r="AB59" s="10"/>
      <c r="AC59" s="316"/>
      <c r="AD59" s="319"/>
    </row>
    <row r="60" spans="1:30">
      <c r="A60" t="str">
        <f t="shared" si="24"/>
        <v>91 Elementary trades and related occupations</v>
      </c>
      <c r="B60" s="11">
        <v>2.8813887556975441E-4</v>
      </c>
      <c r="C60" s="11">
        <v>4.3909057999789941E-3</v>
      </c>
      <c r="D60" s="11">
        <f t="shared" si="25"/>
        <v>4.10276692440924E-3</v>
      </c>
      <c r="E60" s="11">
        <v>1.6241935819812606E-3</v>
      </c>
      <c r="F60" s="11">
        <f t="shared" si="26"/>
        <v>5.7269605063905004E-3</v>
      </c>
      <c r="G60" s="177">
        <f t="shared" si="27"/>
        <v>0.13448154627105202</v>
      </c>
      <c r="I60" s="11" t="str">
        <f t="shared" si="38"/>
        <v>Elementary occupations</v>
      </c>
      <c r="J60" s="11">
        <v>1.4593319106441902</v>
      </c>
      <c r="K60" s="11">
        <v>2.5853747452416025</v>
      </c>
      <c r="L60" s="11">
        <v>1.1260428345974121</v>
      </c>
      <c r="M60" s="11">
        <v>1.3354407163724753</v>
      </c>
      <c r="N60" s="11">
        <v>2.4614835509698874</v>
      </c>
      <c r="P60" s="10" t="str">
        <f>name!D28</f>
        <v>91 Elementary trades and related occupations</v>
      </c>
      <c r="Q60" s="11">
        <v>1.9280314464236585</v>
      </c>
      <c r="R60" s="11">
        <v>7.0281060387183256</v>
      </c>
      <c r="S60" s="316">
        <f t="shared" si="28"/>
        <v>5.1000745922946669</v>
      </c>
      <c r="T60" s="316">
        <v>3.9891486496355784</v>
      </c>
      <c r="U60" s="316">
        <f t="shared" si="29"/>
        <v>9.0892232419302452</v>
      </c>
      <c r="V60" s="317">
        <f t="shared" si="30"/>
        <v>7.7622651543508558E-2</v>
      </c>
      <c r="X60" s="10"/>
      <c r="Y60" s="10"/>
      <c r="Z60" s="10"/>
      <c r="AA60" s="316"/>
      <c r="AB60" s="10"/>
      <c r="AC60" s="316"/>
      <c r="AD60" s="319"/>
    </row>
    <row r="61" spans="1:30">
      <c r="A61" t="str">
        <f t="shared" si="24"/>
        <v>92 Elementary administration and service occupations</v>
      </c>
      <c r="B61" s="11">
        <v>3.0219019625804429E-2</v>
      </c>
      <c r="C61" s="11">
        <v>6.3023984633075569E-2</v>
      </c>
      <c r="D61" s="11">
        <f t="shared" ref="D61" si="41">C61-B61</f>
        <v>3.280496500727114E-2</v>
      </c>
      <c r="E61" s="11">
        <v>2.3930716909883215E-2</v>
      </c>
      <c r="F61" s="11">
        <f t="shared" ref="F61" si="42">SUM(D61:E61)</f>
        <v>5.6735681917154356E-2</v>
      </c>
      <c r="G61" s="177">
        <f t="shared" ref="G61" si="43">IF(B61&gt;0,(1+(E61/B61))^(1/($C$6-$B$6))-1,0)</f>
        <v>3.9651373874203921E-2</v>
      </c>
      <c r="P61" s="10" t="str">
        <f>name!D29</f>
        <v>92 Elementary administration and service occupations</v>
      </c>
      <c r="Q61" s="11">
        <v>18.941946801818354</v>
      </c>
      <c r="R61" s="11">
        <v>12.823853034324475</v>
      </c>
      <c r="S61" s="316">
        <f t="shared" ref="S61" si="44">R61-Q61</f>
        <v>-6.1180937674938782</v>
      </c>
      <c r="T61" s="316">
        <v>8.5728726371572552</v>
      </c>
      <c r="U61" s="316">
        <f t="shared" ref="U61" si="45">SUM(S61:T61)</f>
        <v>2.454778869663377</v>
      </c>
      <c r="V61" s="317">
        <f t="shared" ref="V61" si="46">IF(Q61&gt;0,(1+(T61/Q61))^(1/($C$6-$B$6))-1,0)</f>
        <v>2.5202060331137366E-2</v>
      </c>
      <c r="X61" s="10"/>
      <c r="Y61" s="10"/>
      <c r="Z61" s="10"/>
      <c r="AA61" s="316"/>
      <c r="AB61" s="10"/>
      <c r="AC61" s="316"/>
      <c r="AD61" s="319"/>
    </row>
    <row r="62" spans="1:30">
      <c r="A62" t="str">
        <f t="shared" si="24"/>
        <v>All occupations</v>
      </c>
      <c r="B62" s="11">
        <f>SUM(B36:B61)</f>
        <v>7.0915685334472123</v>
      </c>
      <c r="C62" s="11">
        <f t="shared" ref="C62:F62" si="47">SUM(C36:C61)</f>
        <v>13.476587127561658</v>
      </c>
      <c r="D62" s="11">
        <f t="shared" si="47"/>
        <v>6.3850185941144471</v>
      </c>
      <c r="E62" s="11">
        <f t="shared" si="47"/>
        <v>4.7951940249128757</v>
      </c>
      <c r="F62" s="11">
        <f t="shared" si="47"/>
        <v>11.180212619027319</v>
      </c>
      <c r="G62" s="177">
        <f t="shared" si="27"/>
        <v>3.5034324085416069E-2</v>
      </c>
      <c r="I62" s="69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231.09459559585864</v>
      </c>
      <c r="R62" s="11">
        <f>SUM(R36:R61)</f>
        <v>248.49953199386613</v>
      </c>
      <c r="S62" s="316">
        <f>R62-Q62</f>
        <v>17.404936398007493</v>
      </c>
      <c r="T62" s="11">
        <f>SUM(T36:T61)</f>
        <v>137.37841534473071</v>
      </c>
      <c r="U62" s="316">
        <f>SUM(S62:T62)</f>
        <v>154.7833517427382</v>
      </c>
      <c r="V62" s="317">
        <f t="shared" si="30"/>
        <v>3.15914316901722E-2</v>
      </c>
      <c r="X62" s="10"/>
      <c r="Y62" s="10"/>
      <c r="Z62" s="10"/>
      <c r="AA62" s="316"/>
      <c r="AB62" s="10"/>
      <c r="AC62" s="316"/>
      <c r="AD62" s="319"/>
    </row>
    <row r="63" spans="1:30">
      <c r="I63" s="11" t="str">
        <f>I52</f>
        <v>Managers, directors and senior officials</v>
      </c>
      <c r="J63" s="11">
        <f t="array" ref="J63:J71">MMULT(aggregation!$B$13:$AA$21,B152:B177)</f>
        <v>3.5976264055012788</v>
      </c>
      <c r="K63" s="11">
        <f t="array" ref="K63:K71">MMULT(aggregation!$B$13:$AA$21,C152:C177)</f>
        <v>3.57576698258341</v>
      </c>
      <c r="L63" s="11">
        <f t="array" ref="L63:L71">MMULT(aggregation!$B$13:$AA$21,D152:D177)</f>
        <v>-2.1859422917868687E-2</v>
      </c>
      <c r="M63" s="11">
        <f t="array" ref="M63:M71">MMULT(aggregation!$B$13:$AA$21,E152:E177)</f>
        <v>1.8934989299816054</v>
      </c>
      <c r="N63" s="11">
        <f t="array" ref="N63:N71">MMULT(aggregation!$B$13:$AA$21,F152:F177)</f>
        <v>1.8716395070637368</v>
      </c>
      <c r="P63" s="22"/>
      <c r="Q63" s="27"/>
      <c r="R63" s="27"/>
      <c r="S63" s="27"/>
      <c r="T63" s="27"/>
      <c r="U63" s="27"/>
      <c r="V63" s="27"/>
      <c r="X63" s="10"/>
      <c r="Y63" s="10"/>
      <c r="Z63" s="10"/>
      <c r="AA63" s="316"/>
      <c r="AB63" s="10"/>
      <c r="AC63" s="316"/>
      <c r="AD63" s="319"/>
    </row>
    <row r="64" spans="1:30" ht="38.25">
      <c r="A64" s="178" t="str">
        <f>CONCATENATE(name!F5," (Constrained)")</f>
        <v>RQF7 Other higher degree (Constrained)</v>
      </c>
      <c r="B64" s="70">
        <f t="shared" ref="B64:G64" si="48">B6</f>
        <v>2020</v>
      </c>
      <c r="C64" s="70">
        <f t="shared" si="48"/>
        <v>2035</v>
      </c>
      <c r="D64" s="70" t="str">
        <f t="shared" si="48"/>
        <v>Net Change</v>
      </c>
      <c r="E64" s="70" t="str">
        <f t="shared" si="48"/>
        <v>Replacement Demand level</v>
      </c>
      <c r="F64" s="70" t="str">
        <f t="shared" si="48"/>
        <v>Total Requirement</v>
      </c>
      <c r="G64" s="70" t="str">
        <f t="shared" si="48"/>
        <v>Replacement Demand rate</v>
      </c>
      <c r="I64" s="11" t="str">
        <f>I53</f>
        <v>Professional occupations</v>
      </c>
      <c r="J64" s="11">
        <v>5.050570642582727</v>
      </c>
      <c r="K64" s="11">
        <v>5.3045118808435161</v>
      </c>
      <c r="L64" s="11">
        <v>0.25394123826079018</v>
      </c>
      <c r="M64" s="11">
        <v>2.1740099751661499</v>
      </c>
      <c r="N64" s="11">
        <v>2.4279512134269399</v>
      </c>
      <c r="P64" s="11"/>
      <c r="Q64" s="11"/>
      <c r="R64" s="11"/>
      <c r="S64" s="312"/>
      <c r="T64" s="312"/>
      <c r="U64" s="312"/>
      <c r="X64" s="10"/>
      <c r="Y64" s="10"/>
      <c r="Z64" s="10"/>
      <c r="AA64" s="316"/>
      <c r="AB64" s="10"/>
      <c r="AC64" s="316"/>
      <c r="AD64" s="319"/>
    </row>
    <row r="65" spans="1:30">
      <c r="A65" t="str">
        <f t="shared" ref="A65:A91" si="49">A7</f>
        <v>11 Corporate managers and directors</v>
      </c>
      <c r="B65" s="11">
        <v>3.8038285278720316</v>
      </c>
      <c r="C65" s="11">
        <v>6.3959460319249226</v>
      </c>
      <c r="D65" s="11">
        <f>C65-B65</f>
        <v>2.592117504052891</v>
      </c>
      <c r="E65" s="11">
        <v>2.5219523718987791</v>
      </c>
      <c r="F65" s="11">
        <f>SUM(D65:E65)</f>
        <v>5.1140698759516701</v>
      </c>
      <c r="G65" s="177">
        <f>IF(B65&gt;0,(1+(E65/B65))^(1/($C$6-$B$6))-1,0)</f>
        <v>3.4489803292928167E-2</v>
      </c>
      <c r="I65" s="11" t="str">
        <f>I54</f>
        <v>Associate professional occupations</v>
      </c>
      <c r="J65" s="11">
        <v>4.0339402376666484</v>
      </c>
      <c r="K65" s="11">
        <v>4.3620091830076717</v>
      </c>
      <c r="L65" s="11">
        <v>0.32806894534102388</v>
      </c>
      <c r="M65" s="11">
        <v>1.9359721371107883</v>
      </c>
      <c r="N65" s="11">
        <v>2.2640410824518122</v>
      </c>
      <c r="P65" s="11"/>
      <c r="Q65" s="11"/>
      <c r="R65" s="11"/>
      <c r="S65" s="312"/>
      <c r="T65" s="312"/>
      <c r="U65" s="312"/>
      <c r="X65" s="10"/>
      <c r="Y65" s="10"/>
      <c r="Z65" s="10"/>
      <c r="AA65" s="316"/>
      <c r="AB65" s="10"/>
      <c r="AC65" s="316"/>
      <c r="AD65" s="319"/>
    </row>
    <row r="66" spans="1:30">
      <c r="A66" t="str">
        <f t="shared" si="49"/>
        <v>12 Other managers and proprietors</v>
      </c>
      <c r="B66" s="11">
        <v>1.3074081049131188</v>
      </c>
      <c r="C66" s="11">
        <v>2.7865399387226071</v>
      </c>
      <c r="D66" s="11">
        <f t="shared" ref="D66:D89" si="50">C66-B66</f>
        <v>1.4791318338094883</v>
      </c>
      <c r="E66" s="11">
        <v>1.1578210284877681</v>
      </c>
      <c r="F66" s="11">
        <f t="shared" ref="F66:F89" si="51">SUM(D66:E66)</f>
        <v>2.6369528622972567</v>
      </c>
      <c r="G66" s="177">
        <f t="shared" ref="G66:G89" si="52">IF(B66&gt;0,(1+(E66/B66))^(1/($C$6-$B$6))-1,0)</f>
        <v>4.3189181627668383E-2</v>
      </c>
      <c r="I66" s="11" t="str">
        <f>I55</f>
        <v>Administrative and secretarial occupations</v>
      </c>
      <c r="J66" s="11">
        <v>3.7438176247319559</v>
      </c>
      <c r="K66" s="11">
        <v>4.4812237587018098</v>
      </c>
      <c r="L66" s="11">
        <v>0.73740613396985355</v>
      </c>
      <c r="M66" s="11">
        <v>2.2961130060811392</v>
      </c>
      <c r="N66" s="11">
        <v>3.0335191400509927</v>
      </c>
      <c r="P66" s="11"/>
      <c r="Q66" s="11"/>
      <c r="R66" s="11"/>
      <c r="S66" s="312"/>
      <c r="T66" s="312"/>
      <c r="U66" s="312"/>
      <c r="X66" s="10"/>
      <c r="Y66" s="10"/>
      <c r="Z66" s="10"/>
      <c r="AA66" s="316"/>
      <c r="AB66" s="10"/>
      <c r="AC66" s="316"/>
      <c r="AD66" s="319"/>
    </row>
    <row r="67" spans="1:30">
      <c r="A67" t="str">
        <f t="shared" si="49"/>
        <v>21 Science, research, engineering and technology professionals</v>
      </c>
      <c r="B67" s="11">
        <v>4.4636264902997853</v>
      </c>
      <c r="C67" s="11">
        <v>9.9240874227107234</v>
      </c>
      <c r="D67" s="11">
        <f t="shared" si="50"/>
        <v>5.4604609324109381</v>
      </c>
      <c r="E67" s="11">
        <v>2.8848472507252017</v>
      </c>
      <c r="F67" s="11">
        <f t="shared" si="51"/>
        <v>8.3453081831361402</v>
      </c>
      <c r="G67" s="177">
        <f t="shared" si="52"/>
        <v>3.3793871695303679E-2</v>
      </c>
      <c r="I67" s="11" t="str">
        <f t="shared" ref="I67:I71" si="53">I56</f>
        <v>Skilled trades occupations</v>
      </c>
      <c r="J67" s="11">
        <v>2.8869783145060648</v>
      </c>
      <c r="K67" s="11">
        <v>3.4845466235911662</v>
      </c>
      <c r="L67" s="11">
        <v>0.59756830908510106</v>
      </c>
      <c r="M67" s="11">
        <v>1.5141244787694699</v>
      </c>
      <c r="N67" s="11">
        <v>2.1116927878545706</v>
      </c>
      <c r="P67" s="11"/>
      <c r="Q67" s="11"/>
      <c r="R67" s="11"/>
      <c r="S67" s="312"/>
      <c r="T67" s="312"/>
      <c r="U67" s="312"/>
      <c r="X67" s="10"/>
      <c r="Y67" s="10"/>
      <c r="Z67" s="10"/>
      <c r="AA67" s="316"/>
      <c r="AB67" s="10"/>
      <c r="AC67" s="316"/>
      <c r="AD67" s="319"/>
    </row>
    <row r="68" spans="1:30">
      <c r="A68" t="str">
        <f t="shared" si="49"/>
        <v>22 Health professionals</v>
      </c>
      <c r="B68" s="11">
        <v>5.2342624554481567</v>
      </c>
      <c r="C68" s="11">
        <v>8.9149275044580865</v>
      </c>
      <c r="D68" s="11">
        <f t="shared" si="50"/>
        <v>3.6806650490099297</v>
      </c>
      <c r="E68" s="11">
        <v>3.4989922613421278</v>
      </c>
      <c r="F68" s="11">
        <f t="shared" si="51"/>
        <v>7.1796573103520576</v>
      </c>
      <c r="G68" s="177">
        <f t="shared" si="52"/>
        <v>3.471650211677324E-2</v>
      </c>
      <c r="I68" s="11" t="str">
        <f t="shared" si="53"/>
        <v>Caring, leisure and other service occupations</v>
      </c>
      <c r="J68" s="11">
        <v>3.0839072202377098</v>
      </c>
      <c r="K68" s="11">
        <v>3.695846594688418</v>
      </c>
      <c r="L68" s="11">
        <v>0.61193937445070845</v>
      </c>
      <c r="M68" s="11">
        <v>2.0195623797202198</v>
      </c>
      <c r="N68" s="11">
        <v>2.6315017541709285</v>
      </c>
      <c r="P68" s="11"/>
      <c r="Q68" s="11"/>
      <c r="R68" s="11"/>
      <c r="S68" s="312"/>
      <c r="T68" s="312"/>
      <c r="U68" s="312"/>
      <c r="X68" s="10"/>
      <c r="Y68" s="10"/>
      <c r="Z68" s="10"/>
      <c r="AA68" s="316"/>
      <c r="AB68" s="10"/>
      <c r="AC68" s="316"/>
      <c r="AD68" s="319"/>
    </row>
    <row r="69" spans="1:30">
      <c r="A69" t="str">
        <f t="shared" si="49"/>
        <v>23 Teaching and other educational professionals</v>
      </c>
      <c r="B69" s="11">
        <v>11.493151663559454</v>
      </c>
      <c r="C69" s="11">
        <v>16.306497208346084</v>
      </c>
      <c r="D69" s="11">
        <f t="shared" ref="D69" si="54">C69-B69</f>
        <v>4.81334554478663</v>
      </c>
      <c r="E69" s="11">
        <v>7.0697115829280497</v>
      </c>
      <c r="F69" s="11">
        <f t="shared" ref="F69" si="55">SUM(D69:E69)</f>
        <v>11.883057127714679</v>
      </c>
      <c r="G69" s="177">
        <f t="shared" si="52"/>
        <v>3.2477006270575481E-2</v>
      </c>
      <c r="I69" s="11" t="str">
        <f t="shared" si="53"/>
        <v>Sales and customer service occupations</v>
      </c>
      <c r="J69" s="11">
        <v>1.7856534024935498</v>
      </c>
      <c r="K69" s="11">
        <v>2.2650692075151229</v>
      </c>
      <c r="L69" s="11">
        <v>0.4794158050215731</v>
      </c>
      <c r="M69" s="11">
        <v>0.93395363520002972</v>
      </c>
      <c r="N69" s="11">
        <v>1.4133694402216026</v>
      </c>
      <c r="P69" s="11"/>
      <c r="Q69" s="11"/>
      <c r="R69" s="11"/>
      <c r="S69" s="312"/>
      <c r="T69" s="312"/>
      <c r="U69" s="312"/>
      <c r="X69" s="10"/>
      <c r="Y69" s="10"/>
      <c r="Z69" s="10"/>
      <c r="AA69" s="316"/>
      <c r="AB69" s="10"/>
      <c r="AC69" s="316"/>
      <c r="AD69" s="319"/>
    </row>
    <row r="70" spans="1:30">
      <c r="A70" t="str">
        <f t="shared" si="49"/>
        <v>24 Business, media and public service professionals</v>
      </c>
      <c r="B70" s="11">
        <v>5.6927563758033912</v>
      </c>
      <c r="C70" s="11">
        <v>9.7428518165328644</v>
      </c>
      <c r="D70" s="11">
        <f t="shared" si="50"/>
        <v>4.0500954407294731</v>
      </c>
      <c r="E70" s="11">
        <v>3.6739588856164538</v>
      </c>
      <c r="F70" s="11">
        <f t="shared" si="51"/>
        <v>7.7240543263459269</v>
      </c>
      <c r="G70" s="177">
        <f t="shared" si="52"/>
        <v>3.3755059182196234E-2</v>
      </c>
      <c r="I70" s="11" t="str">
        <f t="shared" si="53"/>
        <v>Process, plant and machine operatives</v>
      </c>
      <c r="J70" s="11">
        <v>1.3445005088198221</v>
      </c>
      <c r="K70" s="11">
        <v>2.0249297209825028</v>
      </c>
      <c r="L70" s="11">
        <v>0.6804292121626806</v>
      </c>
      <c r="M70" s="11">
        <v>0.97354316184521728</v>
      </c>
      <c r="N70" s="11">
        <v>1.653972374007898</v>
      </c>
      <c r="P70" s="11"/>
      <c r="Q70" s="11"/>
      <c r="R70" s="11"/>
      <c r="S70" s="312"/>
      <c r="T70" s="312"/>
      <c r="U70" s="312"/>
      <c r="X70" s="10"/>
      <c r="Y70" s="10"/>
      <c r="Z70" s="10"/>
      <c r="AA70" s="316"/>
      <c r="AB70" s="10"/>
      <c r="AC70" s="316"/>
      <c r="AD70" s="319"/>
    </row>
    <row r="71" spans="1:30">
      <c r="A71" t="str">
        <f t="shared" si="49"/>
        <v>31 Science, engineering and technology associate professionals</v>
      </c>
      <c r="B71" s="11">
        <v>0.89197339166385037</v>
      </c>
      <c r="C71" s="11">
        <v>1.4291071858717985</v>
      </c>
      <c r="D71" s="11">
        <f t="shared" si="50"/>
        <v>0.53713379420794816</v>
      </c>
      <c r="E71" s="11">
        <v>0.46460699920037746</v>
      </c>
      <c r="F71" s="11">
        <f t="shared" si="51"/>
        <v>1.0017407934083256</v>
      </c>
      <c r="G71" s="177">
        <f t="shared" si="52"/>
        <v>2.8346740233495593E-2</v>
      </c>
      <c r="I71" s="11" t="str">
        <f t="shared" si="53"/>
        <v>Elementary occupations</v>
      </c>
      <c r="J71" s="11">
        <v>1.4333105667994095</v>
      </c>
      <c r="K71" s="11">
        <v>2.5614782510757252</v>
      </c>
      <c r="L71" s="11">
        <v>1.1281676842763155</v>
      </c>
      <c r="M71" s="11">
        <v>1.3172981936057697</v>
      </c>
      <c r="N71" s="11">
        <v>2.4454658778820857</v>
      </c>
      <c r="P71" s="11"/>
      <c r="Q71" s="11"/>
      <c r="R71" s="11"/>
      <c r="S71" s="312"/>
      <c r="T71" s="312"/>
      <c r="U71" s="312"/>
      <c r="X71" s="10"/>
      <c r="Y71" s="10"/>
      <c r="Z71" s="10"/>
      <c r="AA71" s="316"/>
      <c r="AB71" s="10"/>
      <c r="AC71" s="316"/>
      <c r="AD71" s="319"/>
    </row>
    <row r="72" spans="1:30">
      <c r="A72" t="str">
        <f t="shared" si="49"/>
        <v>32 Health and social care associate professionals</v>
      </c>
      <c r="B72" s="11">
        <v>1.2407969519020348</v>
      </c>
      <c r="C72" s="11">
        <v>4.9390747004282103</v>
      </c>
      <c r="D72" s="11">
        <f t="shared" si="50"/>
        <v>3.6982777485261753</v>
      </c>
      <c r="E72" s="11">
        <v>1.7399345749874491</v>
      </c>
      <c r="F72" s="11">
        <f t="shared" si="51"/>
        <v>5.4382123235136248</v>
      </c>
      <c r="G72" s="177">
        <f t="shared" si="52"/>
        <v>6.0168288430765937E-2</v>
      </c>
      <c r="I72" s="11"/>
      <c r="J72" s="11"/>
      <c r="K72" s="11"/>
      <c r="L72" s="11"/>
      <c r="M72" s="11"/>
      <c r="N72" s="11"/>
      <c r="P72" s="11"/>
      <c r="Q72" s="11"/>
      <c r="R72" s="11"/>
      <c r="S72" s="312"/>
      <c r="T72" s="312"/>
      <c r="U72" s="312"/>
      <c r="X72" s="10"/>
      <c r="Y72" s="10"/>
      <c r="Z72" s="10"/>
      <c r="AA72" s="316"/>
      <c r="AB72" s="10"/>
      <c r="AC72" s="316"/>
      <c r="AD72" s="319"/>
    </row>
    <row r="73" spans="1:30">
      <c r="A73" t="str">
        <f t="shared" si="49"/>
        <v>33 Protective service occupations</v>
      </c>
      <c r="B73" s="11">
        <v>0.26295984207773249</v>
      </c>
      <c r="C73" s="11">
        <v>0.47477267646927285</v>
      </c>
      <c r="D73" s="11">
        <f t="shared" si="50"/>
        <v>0.21181283439154036</v>
      </c>
      <c r="E73" s="11">
        <v>0.11185815193075105</v>
      </c>
      <c r="F73" s="11">
        <f t="shared" si="51"/>
        <v>0.32367098632229141</v>
      </c>
      <c r="G73" s="177">
        <f t="shared" si="52"/>
        <v>2.3910665411640109E-2</v>
      </c>
      <c r="I73" s="69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12"/>
      <c r="T73" s="312"/>
      <c r="U73" s="312"/>
      <c r="X73" s="10"/>
      <c r="Y73" s="10"/>
      <c r="Z73" s="10"/>
      <c r="AA73" s="316"/>
      <c r="AB73" s="10"/>
      <c r="AC73" s="316"/>
      <c r="AD73" s="319"/>
    </row>
    <row r="74" spans="1:30">
      <c r="A74" t="str">
        <f t="shared" si="49"/>
        <v>34 Culture, media and sports occupations</v>
      </c>
      <c r="B74" s="11">
        <v>1.3351642188410457</v>
      </c>
      <c r="C74" s="11">
        <v>1.8170052067832432</v>
      </c>
      <c r="D74" s="11">
        <f t="shared" ref="D74:D75" si="56">C74-B74</f>
        <v>0.48184098794219743</v>
      </c>
      <c r="E74" s="11">
        <v>0.74367698004453153</v>
      </c>
      <c r="F74" s="11">
        <f t="shared" ref="F74:F75" si="57">SUM(D74:E74)</f>
        <v>1.225517967986729</v>
      </c>
      <c r="G74" s="177">
        <f t="shared" si="52"/>
        <v>2.9957035769177409E-2</v>
      </c>
      <c r="I74" s="11" t="str">
        <f>I63</f>
        <v>Managers, directors and senior officials</v>
      </c>
      <c r="J74" s="11">
        <f t="array" ref="J74:J82">MMULT(aggregation!$B$13:$AA$21,B181:B206)</f>
        <v>8.9023897523099773</v>
      </c>
      <c r="K74" s="11">
        <f t="array" ref="K74:K82">MMULT(aggregation!$B$13:$AA$21,C181:C206)</f>
        <v>8.8049661027513402</v>
      </c>
      <c r="L74" s="11">
        <f t="array" ref="L74:L82">MMULT(aggregation!$B$13:$AA$21,D181:D206)</f>
        <v>-9.7423649558637582E-2</v>
      </c>
      <c r="M74" s="11">
        <f t="array" ref="M74:M82">MMULT(aggregation!$B$13:$AA$21,E181:E206)</f>
        <v>3.8078701978805061</v>
      </c>
      <c r="N74" s="11">
        <f t="array" ref="N74:N82">MMULT(aggregation!$B$13:$AA$21,F181:F206)</f>
        <v>3.7104465483218689</v>
      </c>
      <c r="P74" s="11"/>
      <c r="Q74" s="11"/>
      <c r="R74" s="11"/>
      <c r="S74" s="312"/>
      <c r="T74" s="312"/>
      <c r="U74" s="312"/>
      <c r="X74" s="10"/>
      <c r="Y74" s="10"/>
      <c r="Z74" s="10"/>
      <c r="AA74" s="316"/>
      <c r="AB74" s="10"/>
      <c r="AC74" s="316"/>
      <c r="AD74" s="319"/>
    </row>
    <row r="75" spans="1:30">
      <c r="A75" t="str">
        <f t="shared" si="49"/>
        <v>35 Business and public service associate professionals</v>
      </c>
      <c r="B75" s="11">
        <v>3.4406607165194942</v>
      </c>
      <c r="C75" s="11">
        <v>6.318766965653027</v>
      </c>
      <c r="D75" s="11">
        <f t="shared" si="56"/>
        <v>2.8781062491335327</v>
      </c>
      <c r="E75" s="11">
        <v>2.3019437880674398</v>
      </c>
      <c r="F75" s="11">
        <f t="shared" si="57"/>
        <v>5.1800500372009726</v>
      </c>
      <c r="G75" s="177">
        <f t="shared" si="52"/>
        <v>3.4739759989775187E-2</v>
      </c>
      <c r="I75" s="11" t="str">
        <f>I64</f>
        <v>Professional occupations</v>
      </c>
      <c r="J75" s="11">
        <v>12.043434625561943</v>
      </c>
      <c r="K75" s="11">
        <v>13.522669087996602</v>
      </c>
      <c r="L75" s="11">
        <v>1.4792344624346589</v>
      </c>
      <c r="M75" s="11">
        <v>5.3455320930446728</v>
      </c>
      <c r="N75" s="11">
        <v>6.8247665554793313</v>
      </c>
      <c r="P75" s="11"/>
      <c r="Q75" s="11"/>
      <c r="R75" s="11"/>
      <c r="S75" s="312"/>
      <c r="T75" s="312"/>
      <c r="U75" s="312"/>
      <c r="X75" s="10"/>
      <c r="Y75" s="10"/>
      <c r="Z75" s="10"/>
      <c r="AA75" s="316"/>
      <c r="AB75" s="10"/>
      <c r="AC75" s="316"/>
      <c r="AD75" s="319"/>
    </row>
    <row r="76" spans="1:30">
      <c r="A76" t="str">
        <f t="shared" si="49"/>
        <v>41 Administrative occupations</v>
      </c>
      <c r="B76" s="11">
        <v>2.913821387094532</v>
      </c>
      <c r="C76" s="11">
        <v>5.8517368396190221</v>
      </c>
      <c r="D76" s="11">
        <f t="shared" si="50"/>
        <v>2.9379154525244902</v>
      </c>
      <c r="E76" s="11">
        <v>2.2641214243771772</v>
      </c>
      <c r="F76" s="11">
        <f t="shared" si="51"/>
        <v>5.2020368769016674</v>
      </c>
      <c r="G76" s="177">
        <f t="shared" si="52"/>
        <v>3.907354606009239E-2</v>
      </c>
      <c r="I76" s="11" t="str">
        <f>I65</f>
        <v>Associate professional occupations</v>
      </c>
      <c r="J76" s="11">
        <v>11.511604881640389</v>
      </c>
      <c r="K76" s="11">
        <v>12.391868009337266</v>
      </c>
      <c r="L76" s="11">
        <v>0.8802631276968762</v>
      </c>
      <c r="M76" s="11">
        <v>5.3603996776443488</v>
      </c>
      <c r="N76" s="11">
        <v>6.2406628053412243</v>
      </c>
      <c r="P76" s="11"/>
      <c r="Q76" s="11"/>
      <c r="R76" s="11"/>
      <c r="S76" s="312"/>
      <c r="T76" s="312"/>
      <c r="U76" s="312"/>
      <c r="X76" s="10"/>
      <c r="Y76" s="10"/>
      <c r="Z76" s="10"/>
      <c r="AA76" s="316"/>
      <c r="AB76" s="10"/>
      <c r="AC76" s="316"/>
      <c r="AD76" s="319"/>
    </row>
    <row r="77" spans="1:30">
      <c r="A77" t="str">
        <f t="shared" si="49"/>
        <v>42 Secretarial and related occupations</v>
      </c>
      <c r="B77" s="11">
        <v>0.47265356465006436</v>
      </c>
      <c r="C77" s="11">
        <v>0.49203259276245043</v>
      </c>
      <c r="D77" s="11">
        <f t="shared" si="50"/>
        <v>1.9379028112386065E-2</v>
      </c>
      <c r="E77" s="11">
        <v>0.30061424218290411</v>
      </c>
      <c r="F77" s="11">
        <f t="shared" si="51"/>
        <v>0.31999327029529018</v>
      </c>
      <c r="G77" s="177">
        <f t="shared" si="52"/>
        <v>3.3361950093569126E-2</v>
      </c>
      <c r="I77" s="11" t="str">
        <f>I66</f>
        <v>Administrative and secretarial occupations</v>
      </c>
      <c r="J77" s="11">
        <v>11.668258959509387</v>
      </c>
      <c r="K77" s="11">
        <v>9.8002187706488293</v>
      </c>
      <c r="L77" s="11">
        <v>-1.8680401888605571</v>
      </c>
      <c r="M77" s="11">
        <v>5.1807420668236643</v>
      </c>
      <c r="N77" s="11">
        <v>3.3127018779631072</v>
      </c>
      <c r="P77" s="11"/>
      <c r="Q77" s="11"/>
      <c r="R77" s="11"/>
      <c r="S77" s="312"/>
      <c r="T77" s="312"/>
      <c r="U77" s="312"/>
      <c r="X77" s="10"/>
      <c r="Y77" s="10"/>
      <c r="Z77" s="10"/>
      <c r="AA77" s="316"/>
      <c r="AB77" s="10"/>
      <c r="AC77" s="316"/>
      <c r="AD77" s="319"/>
    </row>
    <row r="78" spans="1:30">
      <c r="A78" t="str">
        <f t="shared" si="49"/>
        <v>51 Skilled agricultural and related trades</v>
      </c>
      <c r="B78" s="11">
        <v>5.1388624470621397E-2</v>
      </c>
      <c r="C78" s="11">
        <v>8.2434257852241843E-2</v>
      </c>
      <c r="D78" s="11">
        <f t="shared" si="50"/>
        <v>3.1045633381620447E-2</v>
      </c>
      <c r="E78" s="11">
        <v>3.5089836438961658E-2</v>
      </c>
      <c r="F78" s="11">
        <f t="shared" si="51"/>
        <v>6.6135469820582105E-2</v>
      </c>
      <c r="G78" s="177">
        <f t="shared" si="52"/>
        <v>3.5307588437883286E-2</v>
      </c>
      <c r="I78" s="11" t="str">
        <f t="shared" ref="I78:I82" si="58">I67</f>
        <v>Skilled trades occupations</v>
      </c>
      <c r="J78" s="11">
        <v>17.936609314913081</v>
      </c>
      <c r="K78" s="11">
        <v>17.318331190686617</v>
      </c>
      <c r="L78" s="11">
        <v>-0.61827812422646322</v>
      </c>
      <c r="M78" s="11">
        <v>6.624281232440846</v>
      </c>
      <c r="N78" s="11">
        <v>6.0060031082143821</v>
      </c>
      <c r="O78" s="56"/>
      <c r="P78" s="11"/>
      <c r="Q78" s="11"/>
      <c r="R78" s="11"/>
      <c r="S78" s="312"/>
      <c r="T78" s="312"/>
      <c r="U78" s="312"/>
      <c r="X78" s="10"/>
      <c r="Y78" s="10"/>
      <c r="Z78" s="10"/>
      <c r="AA78" s="316"/>
      <c r="AB78" s="10"/>
      <c r="AC78" s="316"/>
      <c r="AD78" s="319"/>
    </row>
    <row r="79" spans="1:30">
      <c r="A79" t="str">
        <f t="shared" si="49"/>
        <v>52 Skilled metal, electrical and electronic trades</v>
      </c>
      <c r="B79" s="11">
        <v>0.34914786357303379</v>
      </c>
      <c r="C79" s="11">
        <v>0.88739307677282209</v>
      </c>
      <c r="D79" s="11">
        <f t="shared" si="50"/>
        <v>0.53824521319978835</v>
      </c>
      <c r="E79" s="11">
        <v>0.2873214448812586</v>
      </c>
      <c r="F79" s="11">
        <f t="shared" si="51"/>
        <v>0.82556665808104701</v>
      </c>
      <c r="G79" s="177">
        <f t="shared" si="52"/>
        <v>4.0841352778105078E-2</v>
      </c>
      <c r="I79" s="11" t="str">
        <f t="shared" si="58"/>
        <v>Caring, leisure and other service occupations</v>
      </c>
      <c r="J79" s="11">
        <v>16.702967886031875</v>
      </c>
      <c r="K79" s="11">
        <v>18.457155884369296</v>
      </c>
      <c r="L79" s="11">
        <v>1.7541879983374229</v>
      </c>
      <c r="M79" s="11">
        <v>9.6969528958433777</v>
      </c>
      <c r="N79" s="11">
        <v>11.451140894180799</v>
      </c>
      <c r="X79" s="10"/>
      <c r="Y79" s="10"/>
      <c r="Z79" s="10"/>
      <c r="AA79" s="316"/>
      <c r="AB79" s="10"/>
      <c r="AC79" s="316"/>
      <c r="AD79" s="319"/>
    </row>
    <row r="80" spans="1:30">
      <c r="A80" t="str">
        <f t="shared" si="49"/>
        <v>53 Skilled construction and building trades</v>
      </c>
      <c r="B80" s="11">
        <v>0.14059944724793219</v>
      </c>
      <c r="C80" s="11">
        <v>0.27226960095809533</v>
      </c>
      <c r="D80" s="11">
        <f t="shared" ref="D80" si="59">C80-B80</f>
        <v>0.13167015371016313</v>
      </c>
      <c r="E80" s="11">
        <v>9.4898402814163743E-2</v>
      </c>
      <c r="F80" s="11">
        <f t="shared" ref="F80" si="60">SUM(D80:E80)</f>
        <v>0.22656855652432689</v>
      </c>
      <c r="G80" s="177">
        <f t="shared" si="52"/>
        <v>3.4983808270514505E-2</v>
      </c>
      <c r="I80" s="11" t="str">
        <f t="shared" si="58"/>
        <v>Sales and customer service occupations</v>
      </c>
      <c r="J80" s="11">
        <v>9.9707378775085012</v>
      </c>
      <c r="K80" s="11">
        <v>10.800350335851927</v>
      </c>
      <c r="L80" s="11">
        <v>0.82961245834342767</v>
      </c>
      <c r="M80" s="11">
        <v>4.5788771496583855</v>
      </c>
      <c r="N80" s="11">
        <v>5.4084896080018128</v>
      </c>
      <c r="P80" s="67"/>
      <c r="Q80" s="59"/>
      <c r="R80" s="59"/>
      <c r="S80" s="313"/>
      <c r="T80" s="313"/>
      <c r="U80" s="313"/>
      <c r="X80" s="10"/>
      <c r="Y80" s="10"/>
      <c r="Z80" s="10"/>
      <c r="AA80" s="316"/>
      <c r="AB80" s="10"/>
      <c r="AC80" s="316"/>
      <c r="AD80" s="319"/>
    </row>
    <row r="81" spans="1:30">
      <c r="A81" t="str">
        <f t="shared" si="49"/>
        <v>54 Textiles, printing and other skilled trades</v>
      </c>
      <c r="B81" s="11">
        <v>0.29977725198786687</v>
      </c>
      <c r="C81" s="11">
        <v>0.61532062818748856</v>
      </c>
      <c r="D81" s="11">
        <f t="shared" si="50"/>
        <v>0.31554337619962169</v>
      </c>
      <c r="E81" s="11">
        <v>0.23629289617448163</v>
      </c>
      <c r="F81" s="11">
        <f t="shared" si="51"/>
        <v>0.55183627237410326</v>
      </c>
      <c r="G81" s="177">
        <f t="shared" si="52"/>
        <v>3.9508863210362399E-2</v>
      </c>
      <c r="I81" s="11" t="str">
        <f t="shared" si="58"/>
        <v>Process, plant and machine operatives</v>
      </c>
      <c r="J81" s="11">
        <v>8.3892040161210311</v>
      </c>
      <c r="K81" s="11">
        <v>11.384714796407366</v>
      </c>
      <c r="L81" s="11">
        <v>2.9955107802863346</v>
      </c>
      <c r="M81" s="11">
        <v>4.5381880854990335</v>
      </c>
      <c r="N81" s="11">
        <v>7.5336988657853681</v>
      </c>
      <c r="P81" s="11"/>
      <c r="Q81" s="11"/>
      <c r="R81" s="11"/>
      <c r="S81" s="312"/>
      <c r="T81" s="312"/>
      <c r="U81" s="312"/>
      <c r="X81" s="10"/>
      <c r="Y81" s="10"/>
      <c r="Z81" s="10"/>
      <c r="AA81" s="316"/>
      <c r="AB81" s="10"/>
      <c r="AC81" s="316"/>
      <c r="AD81" s="319"/>
    </row>
    <row r="82" spans="1:30">
      <c r="A82" t="str">
        <f t="shared" si="49"/>
        <v>61 Caring personal service occupations</v>
      </c>
      <c r="B82" s="11">
        <v>1.648877940775634</v>
      </c>
      <c r="C82" s="11">
        <v>4.5459988221634502</v>
      </c>
      <c r="D82" s="11">
        <f t="shared" si="50"/>
        <v>2.8971208813878162</v>
      </c>
      <c r="E82" s="11">
        <v>1.6588512459301632</v>
      </c>
      <c r="F82" s="11">
        <f t="shared" si="51"/>
        <v>4.555972127317979</v>
      </c>
      <c r="G82" s="177">
        <f t="shared" si="52"/>
        <v>4.7504978760971595E-2</v>
      </c>
      <c r="I82" s="11" t="str">
        <f t="shared" si="58"/>
        <v>Elementary occupations</v>
      </c>
      <c r="J82" s="11">
        <v>7.3286928254801174</v>
      </c>
      <c r="K82" s="11">
        <v>7.8304276379029387</v>
      </c>
      <c r="L82" s="11">
        <v>0.50173481242282114</v>
      </c>
      <c r="M82" s="11">
        <v>3.6036940331379901</v>
      </c>
      <c r="N82" s="11">
        <v>4.1054288455608114</v>
      </c>
      <c r="P82" s="11"/>
      <c r="Q82" s="11"/>
      <c r="R82" s="11"/>
      <c r="S82" s="312"/>
      <c r="T82" s="312"/>
      <c r="U82" s="312"/>
      <c r="X82" s="10"/>
      <c r="Y82" s="10"/>
      <c r="Z82" s="10"/>
      <c r="AA82" s="316"/>
      <c r="AB82" s="10"/>
      <c r="AC82" s="316"/>
      <c r="AD82" s="325"/>
    </row>
    <row r="83" spans="1:30">
      <c r="A83" t="str">
        <f t="shared" si="49"/>
        <v>62 Leisure, travel and related personal service occupations</v>
      </c>
      <c r="B83" s="11">
        <v>0.23088990393483855</v>
      </c>
      <c r="C83" s="11">
        <v>0.46079246792537998</v>
      </c>
      <c r="D83" s="11">
        <f t="shared" ref="D83:D84" si="61">C83-B83</f>
        <v>0.22990256399054143</v>
      </c>
      <c r="E83" s="11">
        <v>0.17025661725392877</v>
      </c>
      <c r="F83" s="11">
        <f t="shared" ref="F83:F84" si="62">SUM(D83:E83)</f>
        <v>0.4001591812444702</v>
      </c>
      <c r="G83" s="177">
        <f t="shared" si="52"/>
        <v>3.7512184655484893E-2</v>
      </c>
      <c r="I83" s="11"/>
      <c r="J83" s="11"/>
      <c r="K83" s="11"/>
      <c r="L83" s="11"/>
      <c r="M83" s="11"/>
      <c r="N83" s="11"/>
      <c r="P83" s="11"/>
      <c r="Q83" s="11"/>
      <c r="R83" s="11"/>
      <c r="S83" s="312"/>
      <c r="T83" s="312"/>
      <c r="U83" s="312"/>
    </row>
    <row r="84" spans="1:30">
      <c r="A84" t="str">
        <f t="shared" si="49"/>
        <v>63 Community and civil enforcement occupations</v>
      </c>
      <c r="B84" s="11">
        <v>1.6142172010219294E-2</v>
      </c>
      <c r="C84" s="11">
        <v>2.9373464294570953E-2</v>
      </c>
      <c r="D84" s="11">
        <f t="shared" si="61"/>
        <v>1.3231292284351659E-2</v>
      </c>
      <c r="E84" s="11">
        <v>1.1375244083860843E-2</v>
      </c>
      <c r="F84" s="11">
        <f t="shared" si="62"/>
        <v>2.46065363682125E-2</v>
      </c>
      <c r="G84" s="177">
        <f t="shared" si="52"/>
        <v>3.6198705361269123E-2</v>
      </c>
      <c r="I84" s="69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12"/>
      <c r="T84" s="312"/>
      <c r="U84" s="312"/>
    </row>
    <row r="85" spans="1:30">
      <c r="A85" t="str">
        <f t="shared" si="49"/>
        <v>71 Sales occupations</v>
      </c>
      <c r="B85" s="11">
        <v>0.98347173045997194</v>
      </c>
      <c r="C85" s="11">
        <v>2.3803573799034092</v>
      </c>
      <c r="D85" s="11">
        <f t="shared" si="50"/>
        <v>1.3968856494434374</v>
      </c>
      <c r="E85" s="11">
        <v>0.73978695790798821</v>
      </c>
      <c r="F85" s="11">
        <f t="shared" si="51"/>
        <v>2.1366726073514255</v>
      </c>
      <c r="G85" s="177">
        <f t="shared" si="52"/>
        <v>3.8100116387904226E-2</v>
      </c>
      <c r="I85" s="11" t="str">
        <f>I74</f>
        <v>Managers, directors and senior officials</v>
      </c>
      <c r="J85" s="11">
        <f t="array" ref="J85:J93">MMULT(aggregation!$B$13:$AA$21,B210:B235)</f>
        <v>7.6137044083628185</v>
      </c>
      <c r="K85" s="11">
        <f t="array" ref="K85:K93">MMULT(aggregation!$B$13:$AA$21,C210:C235)</f>
        <v>6.3946261263205653</v>
      </c>
      <c r="L85" s="11">
        <f t="array" ref="L85:L93">MMULT(aggregation!$B$13:$AA$21,D210:D235)</f>
        <v>-1.2190782820422537</v>
      </c>
      <c r="M85" s="11">
        <f t="array" ref="M85:M93">MMULT(aggregation!$B$13:$AA$21,E210:E235)</f>
        <v>3.6025802087132055</v>
      </c>
      <c r="N85" s="11">
        <f t="array" ref="N85:N93">MMULT(aggregation!$B$13:$AA$21,F210:F235)</f>
        <v>2.3835019266709518</v>
      </c>
      <c r="P85" s="11"/>
      <c r="Q85" s="11"/>
      <c r="R85" s="11"/>
      <c r="S85" s="312"/>
      <c r="T85" s="312"/>
      <c r="U85" s="312"/>
    </row>
    <row r="86" spans="1:30">
      <c r="A86" t="str">
        <f t="shared" si="49"/>
        <v>72 Customer service occupations</v>
      </c>
      <c r="B86" s="11">
        <v>0.35601588390914296</v>
      </c>
      <c r="C86" s="11">
        <v>0.88783695288266995</v>
      </c>
      <c r="D86" s="11">
        <f t="shared" si="50"/>
        <v>0.53182106897352699</v>
      </c>
      <c r="E86" s="11">
        <v>0.28065901940711846</v>
      </c>
      <c r="F86" s="11">
        <f t="shared" si="51"/>
        <v>0.81248008838064545</v>
      </c>
      <c r="G86" s="177">
        <f t="shared" si="52"/>
        <v>3.9512917400458702E-2</v>
      </c>
      <c r="I86" s="11" t="str">
        <f>I75</f>
        <v>Professional occupations</v>
      </c>
      <c r="J86" s="11">
        <v>8.1918948714004873</v>
      </c>
      <c r="K86" s="11">
        <v>7.4204116250592449</v>
      </c>
      <c r="L86" s="11">
        <v>-0.77148324634124144</v>
      </c>
      <c r="M86" s="11">
        <v>3.5076150717557679</v>
      </c>
      <c r="N86" s="11">
        <v>2.7361318254145268</v>
      </c>
      <c r="P86" s="11"/>
      <c r="Q86" s="11"/>
      <c r="R86" s="11"/>
      <c r="S86" s="312"/>
      <c r="T86" s="312"/>
      <c r="U86" s="312"/>
    </row>
    <row r="87" spans="1:30">
      <c r="A87" t="str">
        <f t="shared" si="49"/>
        <v>81 Process, plant and machine operatives</v>
      </c>
      <c r="B87" s="11">
        <v>0.21349522513418287</v>
      </c>
      <c r="C87" s="11">
        <v>0.66902668489123696</v>
      </c>
      <c r="D87" s="11">
        <f t="shared" ref="D87:D88" si="63">C87-B87</f>
        <v>0.45553145975705411</v>
      </c>
      <c r="E87" s="11">
        <v>0.2073566655285837</v>
      </c>
      <c r="F87" s="11">
        <f t="shared" ref="F87:F88" si="64">SUM(D87:E87)</f>
        <v>0.66288812528563779</v>
      </c>
      <c r="G87" s="177">
        <f t="shared" si="52"/>
        <v>4.6283575266395482E-2</v>
      </c>
      <c r="I87" s="11" t="str">
        <f>I76</f>
        <v>Associate professional occupations</v>
      </c>
      <c r="J87" s="11">
        <v>8.8501690265717592</v>
      </c>
      <c r="K87" s="11">
        <v>7.99497244332969</v>
      </c>
      <c r="L87" s="11">
        <v>-0.85519658324206937</v>
      </c>
      <c r="M87" s="11">
        <v>3.8081169775541319</v>
      </c>
      <c r="N87" s="11">
        <v>2.9529203943120632</v>
      </c>
      <c r="P87" s="11"/>
      <c r="Q87" s="11"/>
      <c r="R87" s="11"/>
      <c r="S87" s="312"/>
      <c r="T87" s="312"/>
      <c r="U87" s="312"/>
    </row>
    <row r="88" spans="1:30">
      <c r="A88" t="str">
        <f t="shared" si="49"/>
        <v>82 Transport and mobile machine drivers and operatives</v>
      </c>
      <c r="B88" s="11">
        <v>0.2518217531900796</v>
      </c>
      <c r="C88" s="11">
        <v>0.68266870640845356</v>
      </c>
      <c r="D88" s="11">
        <f t="shared" si="63"/>
        <v>0.43084695321837396</v>
      </c>
      <c r="E88" s="11">
        <v>0.27268372979366251</v>
      </c>
      <c r="F88" s="11">
        <f t="shared" si="64"/>
        <v>0.70353068301203647</v>
      </c>
      <c r="G88" s="177">
        <f t="shared" si="52"/>
        <v>5.0131741988477918E-2</v>
      </c>
      <c r="I88" s="11" t="str">
        <f>I77</f>
        <v>Administrative and secretarial occupations</v>
      </c>
      <c r="J88" s="11">
        <v>13.411449004935948</v>
      </c>
      <c r="K88" s="11">
        <v>9.279378344723213</v>
      </c>
      <c r="L88" s="11">
        <v>-4.1320706602127348</v>
      </c>
      <c r="M88" s="11">
        <v>5.4614543742920088</v>
      </c>
      <c r="N88" s="11">
        <v>1.3293837140792739</v>
      </c>
      <c r="P88" s="11"/>
      <c r="Q88" s="11"/>
      <c r="R88" s="11"/>
      <c r="S88" s="312"/>
      <c r="T88" s="312"/>
      <c r="U88" s="312"/>
    </row>
    <row r="89" spans="1:30">
      <c r="A89" t="str">
        <f t="shared" si="49"/>
        <v>91 Elementary trades and related occupations</v>
      </c>
      <c r="B89" s="11">
        <v>8.233820284885178E-2</v>
      </c>
      <c r="C89" s="11">
        <v>0.56150173500271827</v>
      </c>
      <c r="D89" s="11">
        <f t="shared" si="50"/>
        <v>0.47916353215386648</v>
      </c>
      <c r="E89" s="11">
        <v>0.19472164215280194</v>
      </c>
      <c r="F89" s="11">
        <f t="shared" si="51"/>
        <v>0.67388517430666839</v>
      </c>
      <c r="G89" s="177">
        <f t="shared" si="52"/>
        <v>8.4255116491377624E-2</v>
      </c>
      <c r="I89" s="11" t="str">
        <f t="shared" ref="I89:I93" si="65">I78</f>
        <v>Skilled trades occupations</v>
      </c>
      <c r="J89" s="11">
        <v>14.095223007379976</v>
      </c>
      <c r="K89" s="11">
        <v>13.276195704222012</v>
      </c>
      <c r="L89" s="11">
        <v>-0.81902730315796501</v>
      </c>
      <c r="M89" s="11">
        <v>6.0706056137489783</v>
      </c>
      <c r="N89" s="11">
        <v>5.2515783105910137</v>
      </c>
      <c r="P89" s="11"/>
      <c r="Q89" s="11"/>
      <c r="R89" s="11"/>
      <c r="S89" s="312"/>
      <c r="T89" s="312"/>
      <c r="U89" s="312"/>
    </row>
    <row r="90" spans="1:30">
      <c r="A90" t="str">
        <f t="shared" si="49"/>
        <v>92 Elementary administration and service occupations</v>
      </c>
      <c r="B90" s="11">
        <v>0.73708123360489275</v>
      </c>
      <c r="C90" s="11">
        <v>1.8064625630166862</v>
      </c>
      <c r="D90" s="11">
        <f t="shared" ref="D90" si="66">C90-B90</f>
        <v>1.0693813294117933</v>
      </c>
      <c r="E90" s="11">
        <v>0.66220527041180643</v>
      </c>
      <c r="F90" s="11">
        <f t="shared" ref="F90" si="67">SUM(D90:E90)</f>
        <v>1.7315865998235997</v>
      </c>
      <c r="G90" s="177">
        <f t="shared" ref="G90:G91" si="68">IF(B90&gt;0,(1+(E90/B90))^(1/($C$6-$B$6))-1,0)</f>
        <v>4.3660914858740796E-2</v>
      </c>
      <c r="I90" s="11" t="str">
        <f t="shared" si="65"/>
        <v>Caring, leisure and other service occupations</v>
      </c>
      <c r="J90" s="11">
        <v>12.419693515844008</v>
      </c>
      <c r="K90" s="11">
        <v>10.084400621228195</v>
      </c>
      <c r="L90" s="11">
        <v>-2.3352928946158142</v>
      </c>
      <c r="M90" s="11">
        <v>5.9968399785450526</v>
      </c>
      <c r="N90" s="11">
        <v>3.6615470839292392</v>
      </c>
      <c r="P90" s="11"/>
      <c r="Q90" s="11"/>
      <c r="R90" s="11"/>
      <c r="S90" s="312"/>
      <c r="T90" s="312"/>
      <c r="U90" s="312"/>
    </row>
    <row r="91" spans="1:30">
      <c r="A91" t="str">
        <f t="shared" si="49"/>
        <v>All occupations</v>
      </c>
      <c r="B91" s="11">
        <f>SUM(B65:B90)</f>
        <v>47.914110923791952</v>
      </c>
      <c r="C91" s="11">
        <f t="shared" ref="C91:F91" si="69">SUM(C65:C90)</f>
        <v>89.274782430541549</v>
      </c>
      <c r="D91" s="11">
        <f t="shared" si="69"/>
        <v>41.360671506749576</v>
      </c>
      <c r="E91" s="11">
        <f t="shared" si="69"/>
        <v>33.58553851456778</v>
      </c>
      <c r="F91" s="11">
        <f t="shared" si="69"/>
        <v>74.946210021317341</v>
      </c>
      <c r="G91" s="177">
        <f t="shared" si="68"/>
        <v>3.6047070621748167E-2</v>
      </c>
      <c r="I91" s="11" t="str">
        <f t="shared" si="65"/>
        <v>Sales and customer service occupations</v>
      </c>
      <c r="J91" s="11">
        <v>9.6695113460129694</v>
      </c>
      <c r="K91" s="11">
        <v>8.5683251197632924</v>
      </c>
      <c r="L91" s="11">
        <v>-1.101186226249677</v>
      </c>
      <c r="M91" s="11">
        <v>4.5497145563977028</v>
      </c>
      <c r="N91" s="11">
        <v>3.4485283301480258</v>
      </c>
      <c r="P91" s="11"/>
      <c r="Q91" s="11"/>
      <c r="R91" s="11"/>
      <c r="S91" s="312"/>
      <c r="T91" s="312"/>
      <c r="U91" s="312"/>
    </row>
    <row r="92" spans="1:30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11.986003490856444</v>
      </c>
      <c r="K92" s="11">
        <v>14.226702459219393</v>
      </c>
      <c r="L92" s="11">
        <v>2.2406989683629472</v>
      </c>
      <c r="M92" s="11">
        <v>7.102065748091146</v>
      </c>
      <c r="N92" s="11">
        <v>9.3427647164540932</v>
      </c>
      <c r="P92" s="11"/>
      <c r="Q92" s="11"/>
      <c r="R92" s="11"/>
      <c r="S92" s="312"/>
      <c r="T92" s="312"/>
      <c r="U92" s="312"/>
    </row>
    <row r="93" spans="1:30" ht="38.25">
      <c r="A93" s="178" t="str">
        <f>CONCATENATE(name!F6," (Constrained)")</f>
        <v>RQF6 First degree (Constrained)</v>
      </c>
      <c r="B93" s="70">
        <f t="shared" ref="B93:G93" si="70">B6</f>
        <v>2020</v>
      </c>
      <c r="C93" s="70">
        <f t="shared" si="70"/>
        <v>2035</v>
      </c>
      <c r="D93" s="70" t="str">
        <f t="shared" si="70"/>
        <v>Net Change</v>
      </c>
      <c r="E93" s="70" t="str">
        <f t="shared" si="70"/>
        <v>Replacement Demand level</v>
      </c>
      <c r="F93" s="70" t="str">
        <f t="shared" si="70"/>
        <v>Total Requirement</v>
      </c>
      <c r="G93" s="70" t="str">
        <f t="shared" si="70"/>
        <v>Replacement Demand rate</v>
      </c>
      <c r="I93" s="11" t="str">
        <f t="shared" si="65"/>
        <v>Elementary occupations</v>
      </c>
      <c r="J93" s="11">
        <v>12.860045513714716</v>
      </c>
      <c r="K93" s="11">
        <v>14.148979017448831</v>
      </c>
      <c r="L93" s="11">
        <v>1.2889335037341141</v>
      </c>
      <c r="M93" s="11">
        <v>6.9355937016244891</v>
      </c>
      <c r="N93" s="11">
        <v>8.2245272053586032</v>
      </c>
      <c r="P93" s="11"/>
      <c r="Q93" s="11"/>
      <c r="R93" s="11"/>
      <c r="S93" s="312"/>
      <c r="T93" s="312"/>
      <c r="U93" s="312"/>
    </row>
    <row r="94" spans="1:30">
      <c r="A94" t="str">
        <f t="shared" ref="A94:A120" si="71">A7</f>
        <v>11 Corporate managers and directors</v>
      </c>
      <c r="B94" s="11">
        <v>9.0860895159996602</v>
      </c>
      <c r="C94" s="11">
        <v>9.5835726234253187</v>
      </c>
      <c r="D94" s="11">
        <f>C94-B94</f>
        <v>0.49748310742565849</v>
      </c>
      <c r="E94" s="11">
        <v>5.1696196509464221</v>
      </c>
      <c r="F94" s="11">
        <f>SUM(D94:E94)</f>
        <v>5.6671027583720806</v>
      </c>
      <c r="G94" s="177">
        <f>IF(B94&gt;0,(1+(E94/B94))^(1/($C$6-$B$6))-1,0)</f>
        <v>3.0482895915217689E-2</v>
      </c>
      <c r="I94" s="67"/>
      <c r="J94" s="59"/>
      <c r="K94" s="59"/>
      <c r="L94" s="57"/>
      <c r="M94" s="57"/>
      <c r="N94" s="57"/>
      <c r="P94" s="11"/>
      <c r="Q94" s="11"/>
      <c r="R94" s="11"/>
      <c r="S94" s="312"/>
      <c r="T94" s="312"/>
      <c r="U94" s="312"/>
    </row>
    <row r="95" spans="1:30">
      <c r="A95" t="str">
        <f t="shared" si="71"/>
        <v>12 Other managers and proprietors</v>
      </c>
      <c r="B95" s="11">
        <v>2.848200738809759</v>
      </c>
      <c r="C95" s="11">
        <v>3.7279925828699461</v>
      </c>
      <c r="D95" s="11">
        <f t="shared" ref="D95:D118" si="72">C95-B95</f>
        <v>0.87979184406018707</v>
      </c>
      <c r="E95" s="11">
        <v>2.1587161270679656</v>
      </c>
      <c r="F95" s="11">
        <f t="shared" ref="F95:F118" si="73">SUM(D95:E95)</f>
        <v>3.0385079711281526</v>
      </c>
      <c r="G95" s="177">
        <f t="shared" ref="G95:G120" si="74">IF(B95&gt;0,(1+(E95/B95))^(1/($C$6-$B$6))-1,0)</f>
        <v>3.8325019837426089E-2</v>
      </c>
      <c r="I95" s="69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12"/>
      <c r="T95" s="312"/>
      <c r="U95" s="312"/>
    </row>
    <row r="96" spans="1:30">
      <c r="A96" t="str">
        <f t="shared" si="71"/>
        <v>21 Science, research, engineering and technology professionals</v>
      </c>
      <c r="B96" s="11">
        <v>8.276537217990823</v>
      </c>
      <c r="C96" s="11">
        <v>10.303929765786842</v>
      </c>
      <c r="D96" s="11">
        <f t="shared" si="72"/>
        <v>2.0273925477960191</v>
      </c>
      <c r="E96" s="11">
        <v>3.852796819771847</v>
      </c>
      <c r="F96" s="11">
        <f t="shared" si="73"/>
        <v>5.8801893675678656</v>
      </c>
      <c r="G96" s="177">
        <f t="shared" si="74"/>
        <v>2.5807536870077197E-2</v>
      </c>
      <c r="I96" s="11" t="str">
        <f>I85</f>
        <v>Managers, directors and senior officials</v>
      </c>
      <c r="J96" s="11">
        <f t="array" ref="J96:J104">MMULT(aggregation!$B$13:$AA$21,B239:B264)</f>
        <v>5.4238218704798262</v>
      </c>
      <c r="K96" s="11">
        <f t="array" ref="K96:K104">MMULT(aggregation!$B$13:$AA$21,C239:C264)</f>
        <v>3.0843681056490233</v>
      </c>
      <c r="L96" s="11">
        <f t="array" ref="L96:L104">MMULT(aggregation!$B$13:$AA$21,D239:D264)</f>
        <v>-2.3394537648308029</v>
      </c>
      <c r="M96" s="11">
        <f t="array" ref="M96:M104">MMULT(aggregation!$B$13:$AA$21,E239:E264)</f>
        <v>1.8593056191992543</v>
      </c>
      <c r="N96" s="11">
        <f t="array" ref="N96:N104">MMULT(aggregation!$B$13:$AA$21,F239:F264)</f>
        <v>-0.48014814563154862</v>
      </c>
      <c r="P96" s="11"/>
      <c r="Q96" s="11"/>
      <c r="R96" s="11"/>
      <c r="S96" s="312"/>
      <c r="T96" s="312"/>
      <c r="U96" s="312"/>
    </row>
    <row r="97" spans="1:21">
      <c r="A97" t="str">
        <f t="shared" si="71"/>
        <v>22 Health professionals</v>
      </c>
      <c r="B97" s="11">
        <v>9.8464871956844053</v>
      </c>
      <c r="C97" s="11">
        <v>10.035156209651593</v>
      </c>
      <c r="D97" s="11">
        <f t="shared" si="72"/>
        <v>0.18866901396718738</v>
      </c>
      <c r="E97" s="11">
        <v>5.7386606584578592</v>
      </c>
      <c r="F97" s="11">
        <f t="shared" si="73"/>
        <v>5.9273296724250466</v>
      </c>
      <c r="G97" s="177">
        <f t="shared" si="74"/>
        <v>3.1086990026799599E-2</v>
      </c>
      <c r="I97" s="11" t="str">
        <f>I86</f>
        <v>Professional occupations</v>
      </c>
      <c r="J97" s="11">
        <v>4.7524431669654739</v>
      </c>
      <c r="K97" s="11">
        <v>2.6644361539438712</v>
      </c>
      <c r="L97" s="11">
        <v>-2.0880070130216022</v>
      </c>
      <c r="M97" s="11">
        <v>1.4137096900146524</v>
      </c>
      <c r="N97" s="11">
        <v>-0.67429732300694956</v>
      </c>
      <c r="P97" s="11"/>
      <c r="Q97" s="11"/>
      <c r="R97" s="11"/>
      <c r="S97" s="312"/>
      <c r="T97" s="312"/>
      <c r="U97" s="312"/>
    </row>
    <row r="98" spans="1:21">
      <c r="A98" t="str">
        <f t="shared" si="71"/>
        <v>23 Teaching and other educational professionals</v>
      </c>
      <c r="B98" s="11">
        <v>5.6772645357811591</v>
      </c>
      <c r="C98" s="11">
        <v>3.0729351363328146</v>
      </c>
      <c r="D98" s="11">
        <f t="shared" ref="D98" si="75">C98-B98</f>
        <v>-2.6043293994483445</v>
      </c>
      <c r="E98" s="11">
        <v>2.2063621188750591</v>
      </c>
      <c r="F98" s="11">
        <f t="shared" ref="F98" si="76">SUM(D98:E98)</f>
        <v>-0.39796728057328545</v>
      </c>
      <c r="G98" s="177">
        <f t="shared" si="74"/>
        <v>2.2129198212684997E-2</v>
      </c>
      <c r="I98" s="11" t="str">
        <f>I87</f>
        <v>Associate professional occupations</v>
      </c>
      <c r="J98" s="11">
        <v>5.1283040620878371</v>
      </c>
      <c r="K98" s="11">
        <v>2.6373422980643451</v>
      </c>
      <c r="L98" s="11">
        <v>-2.4909617640234929</v>
      </c>
      <c r="M98" s="11">
        <v>1.3991833657672235</v>
      </c>
      <c r="N98" s="11">
        <v>-1.0917783982562694</v>
      </c>
      <c r="P98" s="11"/>
      <c r="Q98" s="11"/>
      <c r="R98" s="11"/>
      <c r="S98" s="312"/>
      <c r="T98" s="312"/>
      <c r="U98" s="312"/>
    </row>
    <row r="99" spans="1:21">
      <c r="A99" t="str">
        <f t="shared" si="71"/>
        <v>24 Business, media and public service professionals</v>
      </c>
      <c r="B99" s="11">
        <v>9.8587477725490071</v>
      </c>
      <c r="C99" s="11">
        <v>10.730432423491665</v>
      </c>
      <c r="D99" s="11">
        <f t="shared" si="72"/>
        <v>0.87168465094265812</v>
      </c>
      <c r="E99" s="11">
        <v>5.3382763992341946</v>
      </c>
      <c r="F99" s="11">
        <f t="shared" si="73"/>
        <v>6.2099610501768527</v>
      </c>
      <c r="G99" s="177">
        <f t="shared" si="74"/>
        <v>2.926953848631908E-2</v>
      </c>
      <c r="I99" s="11" t="str">
        <f>I88</f>
        <v>Administrative and secretarial occupations</v>
      </c>
      <c r="J99" s="11">
        <v>6.5830633731027106</v>
      </c>
      <c r="K99" s="11">
        <v>1.534968193295974</v>
      </c>
      <c r="L99" s="11">
        <v>-5.0480951798067366</v>
      </c>
      <c r="M99" s="11">
        <v>1.5240001912213961</v>
      </c>
      <c r="N99" s="11">
        <v>-3.524094988585341</v>
      </c>
      <c r="P99" s="11"/>
      <c r="Q99" s="11"/>
      <c r="R99" s="11"/>
      <c r="S99" s="312"/>
      <c r="T99" s="312"/>
      <c r="U99" s="312"/>
    </row>
    <row r="100" spans="1:21">
      <c r="A100" t="str">
        <f t="shared" si="71"/>
        <v>31 Science, engineering and technology associate professionals</v>
      </c>
      <c r="B100" s="11">
        <v>1.9460628475140151</v>
      </c>
      <c r="C100" s="11">
        <v>2.0394363897983956</v>
      </c>
      <c r="D100" s="11">
        <f t="shared" si="72"/>
        <v>9.337354228438044E-2</v>
      </c>
      <c r="E100" s="11">
        <v>0.85002865579271547</v>
      </c>
      <c r="F100" s="11">
        <f t="shared" si="73"/>
        <v>0.94340219807709591</v>
      </c>
      <c r="G100" s="177">
        <f t="shared" si="74"/>
        <v>2.4455192143636895E-2</v>
      </c>
      <c r="I100" s="11" t="str">
        <f t="shared" ref="I100:I104" si="77">I89</f>
        <v>Skilled trades occupations</v>
      </c>
      <c r="J100" s="11">
        <v>7.7751008389280134</v>
      </c>
      <c r="K100" s="11">
        <v>4.4437179153205317</v>
      </c>
      <c r="L100" s="11">
        <v>-3.3313829236074826</v>
      </c>
      <c r="M100" s="11">
        <v>2.3173286070940042</v>
      </c>
      <c r="N100" s="11">
        <v>-1.0140543165134783</v>
      </c>
      <c r="P100" s="11"/>
      <c r="Q100" s="11"/>
      <c r="R100" s="11"/>
      <c r="S100" s="312"/>
      <c r="T100" s="312"/>
      <c r="U100" s="312"/>
    </row>
    <row r="101" spans="1:21">
      <c r="A101" t="str">
        <f t="shared" si="71"/>
        <v>32 Health and social care associate professionals</v>
      </c>
      <c r="B101" s="11">
        <v>3.4708237795724934</v>
      </c>
      <c r="C101" s="11">
        <v>7.724786127820737</v>
      </c>
      <c r="D101" s="11">
        <f t="shared" si="72"/>
        <v>4.253962348248244</v>
      </c>
      <c r="E101" s="11">
        <v>4.1164988812151808</v>
      </c>
      <c r="F101" s="11">
        <f t="shared" si="73"/>
        <v>8.3704612294634249</v>
      </c>
      <c r="G101" s="177">
        <f t="shared" si="74"/>
        <v>5.3522299557808184E-2</v>
      </c>
      <c r="I101" s="11" t="str">
        <f t="shared" si="77"/>
        <v>Caring, leisure and other service occupations</v>
      </c>
      <c r="J101" s="11">
        <v>2.9522057152155199</v>
      </c>
      <c r="K101" s="11">
        <v>1.5274627932483029</v>
      </c>
      <c r="L101" s="11">
        <v>-1.4247429219672165</v>
      </c>
      <c r="M101" s="11">
        <v>0.8046332864417125</v>
      </c>
      <c r="N101" s="11">
        <v>-0.62010963552550413</v>
      </c>
      <c r="P101" s="11"/>
      <c r="Q101" s="11"/>
      <c r="R101" s="11"/>
      <c r="S101" s="312"/>
      <c r="T101" s="312"/>
      <c r="U101" s="312"/>
    </row>
    <row r="102" spans="1:21">
      <c r="A102" t="str">
        <f t="shared" si="71"/>
        <v>33 Protective service occupations</v>
      </c>
      <c r="B102" s="11">
        <v>1.124342968392632</v>
      </c>
      <c r="C102" s="11">
        <v>1.4209995577161691</v>
      </c>
      <c r="D102" s="11">
        <f t="shared" si="72"/>
        <v>0.29665658932353711</v>
      </c>
      <c r="E102" s="11">
        <v>0.49098845519748668</v>
      </c>
      <c r="F102" s="11">
        <f t="shared" si="73"/>
        <v>0.7876450445210238</v>
      </c>
      <c r="G102" s="177">
        <f t="shared" si="74"/>
        <v>2.4450209421493563E-2</v>
      </c>
      <c r="I102" s="11" t="str">
        <f t="shared" si="77"/>
        <v>Sales and customer service occupations</v>
      </c>
      <c r="J102" s="11">
        <v>5.8345108631323903</v>
      </c>
      <c r="K102" s="11">
        <v>2.4111333932969967</v>
      </c>
      <c r="L102" s="11">
        <v>-3.423377469835394</v>
      </c>
      <c r="M102" s="11">
        <v>1.489389108415643</v>
      </c>
      <c r="N102" s="11">
        <v>-1.9339883614197508</v>
      </c>
      <c r="P102" s="11"/>
      <c r="Q102" s="11"/>
      <c r="R102" s="11"/>
      <c r="S102" s="312"/>
      <c r="T102" s="312"/>
      <c r="U102" s="312"/>
    </row>
    <row r="103" spans="1:21">
      <c r="A103" t="str">
        <f t="shared" si="71"/>
        <v>34 Culture, media and sports occupations</v>
      </c>
      <c r="B103" s="11">
        <v>2.7855782609015396</v>
      </c>
      <c r="C103" s="11">
        <v>2.5815882750732961</v>
      </c>
      <c r="D103" s="11">
        <f t="shared" ref="D103:D104" si="78">C103-B103</f>
        <v>-0.20398998582824346</v>
      </c>
      <c r="E103" s="11">
        <v>1.2227604309911255</v>
      </c>
      <c r="F103" s="11">
        <f t="shared" ref="F103:F104" si="79">SUM(D103:E103)</f>
        <v>1.0187704451628821</v>
      </c>
      <c r="G103" s="177">
        <f t="shared" si="74"/>
        <v>2.4558128215294905E-2</v>
      </c>
      <c r="I103" s="11" t="str">
        <f t="shared" si="77"/>
        <v>Process, plant and machine operatives</v>
      </c>
      <c r="J103" s="11">
        <v>9.6767092905676488</v>
      </c>
      <c r="K103" s="11">
        <v>5.4052975633542504</v>
      </c>
      <c r="L103" s="11">
        <v>-4.2714117272133985</v>
      </c>
      <c r="M103" s="11">
        <v>3.2795915979830585</v>
      </c>
      <c r="N103" s="11">
        <v>-0.99182012923033991</v>
      </c>
      <c r="P103" s="11"/>
      <c r="Q103" s="11"/>
      <c r="R103" s="11"/>
      <c r="S103" s="312"/>
      <c r="T103" s="312"/>
      <c r="U103" s="312"/>
    </row>
    <row r="104" spans="1:21">
      <c r="A104" t="str">
        <f t="shared" si="71"/>
        <v>35 Business and public service associate professionals</v>
      </c>
      <c r="B104" s="11">
        <v>7.2118454489882708</v>
      </c>
      <c r="C104" s="11">
        <v>7.7504413924660005</v>
      </c>
      <c r="D104" s="11">
        <f t="shared" si="78"/>
        <v>0.53859594347772966</v>
      </c>
      <c r="E104" s="11">
        <v>3.8207037156991071</v>
      </c>
      <c r="F104" s="11">
        <f t="shared" si="79"/>
        <v>4.3592996591768367</v>
      </c>
      <c r="G104" s="177">
        <f t="shared" si="74"/>
        <v>2.8747115934672163E-2</v>
      </c>
      <c r="I104" s="11" t="str">
        <f t="shared" si="77"/>
        <v>Elementary occupations</v>
      </c>
      <c r="J104" s="11">
        <v>11.898984307562326</v>
      </c>
      <c r="K104" s="11">
        <v>8.2140980903167176</v>
      </c>
      <c r="L104" s="11">
        <v>-3.6848862172456087</v>
      </c>
      <c r="M104" s="11">
        <v>4.4239499344014765</v>
      </c>
      <c r="N104" s="11">
        <v>0.73906371715586783</v>
      </c>
      <c r="P104" s="11"/>
      <c r="Q104" s="11"/>
      <c r="R104" s="11"/>
      <c r="S104" s="312"/>
      <c r="T104" s="312"/>
      <c r="U104" s="312"/>
    </row>
    <row r="105" spans="1:21">
      <c r="A105" t="str">
        <f t="shared" si="71"/>
        <v>41 Administrative occupations</v>
      </c>
      <c r="B105" s="11">
        <v>9.1944183745609376</v>
      </c>
      <c r="C105" s="11">
        <v>12.661037788495385</v>
      </c>
      <c r="D105" s="11">
        <f t="shared" si="72"/>
        <v>3.4666194139344473</v>
      </c>
      <c r="E105" s="11">
        <v>6.3197486962822653</v>
      </c>
      <c r="F105" s="11">
        <f t="shared" si="73"/>
        <v>9.7863681102167135</v>
      </c>
      <c r="G105" s="177">
        <f t="shared" si="74"/>
        <v>3.5492474132336138E-2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12"/>
      <c r="T105" s="312"/>
      <c r="U105" s="312"/>
    </row>
    <row r="106" spans="1:21">
      <c r="A106" t="str">
        <f t="shared" si="71"/>
        <v>42 Secretarial and related occupations</v>
      </c>
      <c r="B106" s="11">
        <v>1.3728268271190882</v>
      </c>
      <c r="C106" s="11">
        <v>2.0249051859202343</v>
      </c>
      <c r="D106" s="11">
        <f t="shared" si="72"/>
        <v>0.65207835880114606</v>
      </c>
      <c r="E106" s="11">
        <v>1.1082484499340386</v>
      </c>
      <c r="F106" s="11">
        <f t="shared" si="73"/>
        <v>1.7603268087351847</v>
      </c>
      <c r="G106" s="177">
        <f t="shared" si="74"/>
        <v>4.0243343877087279E-2</v>
      </c>
      <c r="I106" s="69" t="str">
        <f>name!F12</f>
        <v>No Qualification</v>
      </c>
      <c r="J106" s="11"/>
      <c r="K106" s="11"/>
      <c r="L106" s="11"/>
      <c r="M106" s="11"/>
      <c r="N106" s="11"/>
      <c r="O106" s="56"/>
      <c r="P106" s="11"/>
      <c r="Q106" s="11"/>
      <c r="R106" s="11"/>
      <c r="S106" s="312"/>
      <c r="T106" s="312"/>
      <c r="U106" s="312"/>
    </row>
    <row r="107" spans="1:21">
      <c r="A107" t="str">
        <f t="shared" si="71"/>
        <v>51 Skilled agricultural and related trades</v>
      </c>
      <c r="B107" s="11">
        <v>0.34538868902250341</v>
      </c>
      <c r="C107" s="11">
        <v>0.51289022932313466</v>
      </c>
      <c r="D107" s="11">
        <f t="shared" si="72"/>
        <v>0.16750154030063125</v>
      </c>
      <c r="E107" s="11">
        <v>0.284397615231885</v>
      </c>
      <c r="F107" s="11">
        <f t="shared" si="73"/>
        <v>0.45189915553251625</v>
      </c>
      <c r="G107" s="177">
        <f t="shared" si="74"/>
        <v>4.0860050431783534E-2</v>
      </c>
      <c r="I107" s="11" t="str">
        <f>I96</f>
        <v>Managers, directors and senior officials</v>
      </c>
      <c r="J107" s="11">
        <f t="array" ref="J107:J115">MMULT(aggregation!$B$13:$AA$21,B268:B293)</f>
        <v>1.9213896349060804</v>
      </c>
      <c r="K107" s="11">
        <f t="array" ref="K107:K115">MMULT(aggregation!$B$13:$AA$21,C268:C293)</f>
        <v>0.97542761082735652</v>
      </c>
      <c r="L107" s="11">
        <f t="array" ref="L107:L115">MMULT(aggregation!$B$13:$AA$21,D268:D293)</f>
        <v>-0.94596202407872387</v>
      </c>
      <c r="M107" s="11">
        <f t="array" ref="M107:M115">MMULT(aggregation!$B$13:$AA$21,E268:E293)</f>
        <v>0.45242958092431562</v>
      </c>
      <c r="N107" s="11">
        <f t="array" ref="N107:N115">MMULT(aggregation!$B$13:$AA$21,F268:F293)</f>
        <v>-0.49353244315440825</v>
      </c>
      <c r="P107" s="11"/>
      <c r="Q107" s="11"/>
      <c r="R107" s="11"/>
      <c r="S107" s="312"/>
      <c r="T107" s="312"/>
      <c r="U107" s="312"/>
    </row>
    <row r="108" spans="1:21">
      <c r="A108" t="str">
        <f t="shared" si="71"/>
        <v>52 Skilled metal, electrical and electronic trades</v>
      </c>
      <c r="B108" s="11">
        <v>0.95692385548505654</v>
      </c>
      <c r="C108" s="11">
        <v>1.3678272250516175</v>
      </c>
      <c r="D108" s="11">
        <f t="shared" si="72"/>
        <v>0.41090336956656093</v>
      </c>
      <c r="E108" s="11">
        <v>0.57455591573930986</v>
      </c>
      <c r="F108" s="11">
        <f t="shared" si="73"/>
        <v>0.98545928530587079</v>
      </c>
      <c r="G108" s="177">
        <f t="shared" si="74"/>
        <v>3.1847680431465797E-2</v>
      </c>
      <c r="I108" s="11" t="str">
        <f>I97</f>
        <v>Professional occupations</v>
      </c>
      <c r="J108" s="11">
        <v>1.7705772898092134</v>
      </c>
      <c r="K108" s="11">
        <v>1.0752642631298253</v>
      </c>
      <c r="L108" s="11">
        <v>-0.69531302667938821</v>
      </c>
      <c r="M108" s="11">
        <v>0.47676885216039455</v>
      </c>
      <c r="N108" s="11">
        <v>-0.21854417451899355</v>
      </c>
      <c r="P108" s="67"/>
      <c r="Q108" s="59"/>
      <c r="R108" s="59"/>
      <c r="S108" s="313"/>
      <c r="T108" s="313"/>
      <c r="U108" s="313"/>
    </row>
    <row r="109" spans="1:21">
      <c r="A109" t="str">
        <f t="shared" si="71"/>
        <v>53 Skilled construction and building trades</v>
      </c>
      <c r="B109" s="11">
        <v>0.4832356462723717</v>
      </c>
      <c r="C109" s="11">
        <v>0.61046135803375567</v>
      </c>
      <c r="D109" s="11">
        <f t="shared" ref="D109" si="80">C109-B109</f>
        <v>0.12722571176138397</v>
      </c>
      <c r="E109" s="11">
        <v>0.28024603997290937</v>
      </c>
      <c r="F109" s="11">
        <f t="shared" ref="F109" si="81">SUM(D109:E109)</f>
        <v>0.40747175173429334</v>
      </c>
      <c r="G109" s="177">
        <f t="shared" si="74"/>
        <v>3.0961966912807171E-2</v>
      </c>
      <c r="I109" s="11" t="str">
        <f>I98</f>
        <v>Associate professional occupations</v>
      </c>
      <c r="J109" s="11">
        <v>1.8388289126831112</v>
      </c>
      <c r="K109" s="11">
        <v>1.1374992153499952</v>
      </c>
      <c r="L109" s="11">
        <v>-0.70132969733311623</v>
      </c>
      <c r="M109" s="11">
        <v>0.45039326520473721</v>
      </c>
      <c r="N109" s="11">
        <v>-0.25093643212837902</v>
      </c>
      <c r="P109" s="11"/>
      <c r="Q109" s="11"/>
      <c r="R109" s="11"/>
      <c r="S109" s="312"/>
      <c r="T109" s="312"/>
      <c r="U109" s="312"/>
    </row>
    <row r="110" spans="1:21">
      <c r="A110" t="str">
        <f t="shared" si="71"/>
        <v>54 Textiles, printing and other skilled trades</v>
      </c>
      <c r="B110" s="11">
        <v>0.64773474534466513</v>
      </c>
      <c r="C110" s="11">
        <v>0.98742588664652065</v>
      </c>
      <c r="D110" s="11">
        <f t="shared" si="72"/>
        <v>0.33969114130185551</v>
      </c>
      <c r="E110" s="11">
        <v>0.46847337473268869</v>
      </c>
      <c r="F110" s="11">
        <f t="shared" si="73"/>
        <v>0.8081645160345442</v>
      </c>
      <c r="G110" s="177">
        <f t="shared" si="74"/>
        <v>3.6946934986062718E-2</v>
      </c>
      <c r="I110" s="11" t="str">
        <f>I99</f>
        <v>Administrative and secretarial occupations</v>
      </c>
      <c r="J110" s="11">
        <v>2.6838608339469654</v>
      </c>
      <c r="K110" s="11">
        <v>1.3992798830698803</v>
      </c>
      <c r="L110" s="11">
        <v>-1.2845809508770849</v>
      </c>
      <c r="M110" s="11">
        <v>0.6468308144835504</v>
      </c>
      <c r="N110" s="11">
        <v>-0.63775013639353451</v>
      </c>
      <c r="P110" s="11"/>
      <c r="Q110" s="11"/>
      <c r="R110" s="11"/>
      <c r="S110" s="312"/>
      <c r="T110" s="312"/>
      <c r="U110" s="312"/>
    </row>
    <row r="111" spans="1:21">
      <c r="A111" t="str">
        <f t="shared" si="71"/>
        <v>61 Caring personal service occupations</v>
      </c>
      <c r="B111" s="11">
        <v>5.0871228328913283</v>
      </c>
      <c r="C111" s="11">
        <v>7.5929014662941867</v>
      </c>
      <c r="D111" s="11">
        <f>C111-B111</f>
        <v>2.5057786334028584</v>
      </c>
      <c r="E111" s="11">
        <v>4.2640186348299292</v>
      </c>
      <c r="F111" s="11">
        <f>SUM(D111:E111)</f>
        <v>6.7697972682327876</v>
      </c>
      <c r="G111" s="177">
        <f t="shared" si="74"/>
        <v>4.142059074901594E-2</v>
      </c>
      <c r="I111" s="11" t="str">
        <f t="shared" ref="I111:I115" si="82">I100</f>
        <v>Skilled trades occupations</v>
      </c>
      <c r="J111" s="11">
        <v>5.0753914863891385</v>
      </c>
      <c r="K111" s="11">
        <v>1.2909168426664235</v>
      </c>
      <c r="L111" s="11">
        <v>-3.7844746437227155</v>
      </c>
      <c r="M111" s="11">
        <v>0.83216855919560406</v>
      </c>
      <c r="N111" s="11">
        <v>-2.9523060845271116</v>
      </c>
      <c r="P111" s="11"/>
      <c r="Q111" s="11"/>
      <c r="R111" s="11"/>
      <c r="S111" s="312"/>
      <c r="T111" s="312"/>
      <c r="U111" s="312"/>
    </row>
    <row r="112" spans="1:21">
      <c r="A112" t="str">
        <f t="shared" si="71"/>
        <v>62 Leisure, travel and related personal service occupations</v>
      </c>
      <c r="B112" s="11">
        <v>0.93384356837798443</v>
      </c>
      <c r="C112" s="11">
        <v>1.4851133251436135</v>
      </c>
      <c r="D112" s="11">
        <f t="shared" ref="D112:D113" si="83">C112-B112</f>
        <v>0.55126975676562906</v>
      </c>
      <c r="E112" s="11">
        <v>0.74088515744118599</v>
      </c>
      <c r="F112" s="11">
        <f t="shared" ref="F112:F113" si="84">SUM(D112:E112)</f>
        <v>1.2921549142068152</v>
      </c>
      <c r="G112" s="177">
        <f t="shared" si="74"/>
        <v>3.9707928633863077E-2</v>
      </c>
      <c r="I112" s="11" t="str">
        <f t="shared" si="82"/>
        <v>Caring, leisure and other service occupations</v>
      </c>
      <c r="J112" s="11">
        <v>1.2999040034971308</v>
      </c>
      <c r="K112" s="11">
        <v>0.52893042126835366</v>
      </c>
      <c r="L112" s="11">
        <v>-0.77097358222877721</v>
      </c>
      <c r="M112" s="11">
        <v>0.23759323824374648</v>
      </c>
      <c r="N112" s="11">
        <v>-0.53338034398503076</v>
      </c>
      <c r="P112" s="11"/>
      <c r="Q112" s="11"/>
      <c r="R112" s="11"/>
      <c r="S112" s="312"/>
      <c r="T112" s="312"/>
      <c r="U112" s="312"/>
    </row>
    <row r="113" spans="1:21">
      <c r="A113" t="str">
        <f t="shared" si="71"/>
        <v>63 Community and civil enforcement occupations</v>
      </c>
      <c r="B113" s="11">
        <v>6.8915963889262952E-2</v>
      </c>
      <c r="C113" s="11">
        <v>9.2318389966618508E-2</v>
      </c>
      <c r="D113" s="11">
        <f t="shared" si="83"/>
        <v>2.3402426077355556E-2</v>
      </c>
      <c r="E113" s="11">
        <v>5.2770939321376407E-2</v>
      </c>
      <c r="F113" s="11">
        <f t="shared" si="84"/>
        <v>7.6173365398731957E-2</v>
      </c>
      <c r="G113" s="177">
        <f t="shared" si="74"/>
        <v>3.8631763971014754E-2</v>
      </c>
      <c r="I113" s="11" t="str">
        <f t="shared" si="82"/>
        <v>Sales and customer service occupations</v>
      </c>
      <c r="J113" s="11">
        <v>3.5077601795974527</v>
      </c>
      <c r="K113" s="11">
        <v>1.2482671005963828</v>
      </c>
      <c r="L113" s="11">
        <v>-2.2594930790010697</v>
      </c>
      <c r="M113" s="11">
        <v>0.56543600051615805</v>
      </c>
      <c r="N113" s="11">
        <v>-1.6940570784849118</v>
      </c>
      <c r="P113" s="11"/>
      <c r="Q113" s="11"/>
      <c r="R113" s="11"/>
      <c r="S113" s="312"/>
      <c r="T113" s="312"/>
      <c r="U113" s="312"/>
    </row>
    <row r="114" spans="1:21">
      <c r="A114" t="str">
        <f t="shared" si="71"/>
        <v>71 Sales occupations</v>
      </c>
      <c r="B114" s="11">
        <v>3.9468215236163324</v>
      </c>
      <c r="C114" s="11">
        <v>5.7259854878755334</v>
      </c>
      <c r="D114" s="11">
        <f t="shared" si="72"/>
        <v>1.779163964259201</v>
      </c>
      <c r="E114" s="11">
        <v>2.5626202952945922</v>
      </c>
      <c r="F114" s="11">
        <f t="shared" si="73"/>
        <v>4.3417842595537932</v>
      </c>
      <c r="G114" s="177">
        <f t="shared" si="74"/>
        <v>3.3918764687660419E-2</v>
      </c>
      <c r="I114" s="11" t="str">
        <f t="shared" si="82"/>
        <v>Process, plant and machine operatives</v>
      </c>
      <c r="J114" s="11">
        <v>6.1675332440480766</v>
      </c>
      <c r="K114" s="11">
        <v>1.1865880765808936</v>
      </c>
      <c r="L114" s="11">
        <v>-4.9809451674671834</v>
      </c>
      <c r="M114" s="11">
        <v>0.99228262885536567</v>
      </c>
      <c r="N114" s="11">
        <v>-3.9886625386118175</v>
      </c>
      <c r="P114" s="11"/>
      <c r="Q114" s="11"/>
      <c r="R114" s="11"/>
      <c r="S114" s="312"/>
      <c r="T114" s="312"/>
      <c r="U114" s="312"/>
    </row>
    <row r="115" spans="1:21">
      <c r="A115" t="str">
        <f t="shared" si="71"/>
        <v>72 Customer service occupations</v>
      </c>
      <c r="B115" s="11">
        <v>1.4180283873247137</v>
      </c>
      <c r="C115" s="11">
        <v>2.1687493220488063</v>
      </c>
      <c r="D115" s="11">
        <f t="shared" si="72"/>
        <v>0.75072093472409263</v>
      </c>
      <c r="E115" s="11">
        <v>0.94869291569278635</v>
      </c>
      <c r="F115" s="11">
        <f t="shared" si="73"/>
        <v>1.699413850416879</v>
      </c>
      <c r="G115" s="177">
        <f t="shared" si="74"/>
        <v>3.4738987491299778E-2</v>
      </c>
      <c r="I115" s="11" t="str">
        <f t="shared" si="82"/>
        <v>Elementary occupations</v>
      </c>
      <c r="J115" s="11">
        <v>7.5247359161494209</v>
      </c>
      <c r="K115" s="11">
        <v>3.3076512238269711</v>
      </c>
      <c r="L115" s="11">
        <v>-4.2170846923224499</v>
      </c>
      <c r="M115" s="11">
        <v>1.5878302085265976</v>
      </c>
      <c r="N115" s="11">
        <v>-2.6292544837958522</v>
      </c>
      <c r="P115" s="11"/>
      <c r="Q115" s="11"/>
      <c r="R115" s="11"/>
      <c r="S115" s="312"/>
      <c r="T115" s="312"/>
      <c r="U115" s="312"/>
    </row>
    <row r="116" spans="1:21">
      <c r="A116" t="str">
        <f t="shared" si="71"/>
        <v>81 Process, plant and machine operatives</v>
      </c>
      <c r="B116" s="11">
        <v>0.59962612406069482</v>
      </c>
      <c r="C116" s="11">
        <v>1.4950693176859413</v>
      </c>
      <c r="D116" s="11">
        <f t="shared" ref="D116:D117" si="85">C116-B116</f>
        <v>0.89544319362524649</v>
      </c>
      <c r="E116" s="11">
        <v>0.58490793450728595</v>
      </c>
      <c r="F116" s="11">
        <f t="shared" ref="F116:F117" si="86">SUM(D116:E116)</f>
        <v>1.4803511281325323</v>
      </c>
      <c r="G116" s="177">
        <f t="shared" si="74"/>
        <v>4.6432293552423065E-2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12"/>
      <c r="T116" s="312"/>
      <c r="U116" s="312"/>
    </row>
    <row r="117" spans="1:21">
      <c r="A117" t="str">
        <f t="shared" si="71"/>
        <v>82 Transport and mobile machine drivers and operatives</v>
      </c>
      <c r="B117" s="11">
        <v>0.91450947971928243</v>
      </c>
      <c r="C117" s="11">
        <v>1.7062609715757153</v>
      </c>
      <c r="D117" s="11">
        <f t="shared" si="85"/>
        <v>0.7917514918564329</v>
      </c>
      <c r="E117" s="11">
        <v>0.86903798771679042</v>
      </c>
      <c r="F117" s="11">
        <f t="shared" si="86"/>
        <v>1.6607894795732232</v>
      </c>
      <c r="G117" s="177">
        <f t="shared" si="74"/>
        <v>4.5537860827944199E-2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12"/>
      <c r="T117" s="312"/>
      <c r="U117" s="312"/>
    </row>
    <row r="118" spans="1:21">
      <c r="A118" t="str">
        <f t="shared" si="71"/>
        <v>91 Elementary trades and related occupations</v>
      </c>
      <c r="B118" s="11">
        <v>0.29048266008321377</v>
      </c>
      <c r="C118" s="11">
        <v>1.4307624812938422</v>
      </c>
      <c r="D118" s="11">
        <f t="shared" si="72"/>
        <v>1.1402798212106284</v>
      </c>
      <c r="E118" s="11">
        <v>0.74368921335253002</v>
      </c>
      <c r="F118" s="11">
        <f t="shared" si="73"/>
        <v>1.8839690345631586</v>
      </c>
      <c r="G118" s="177">
        <f t="shared" si="74"/>
        <v>8.8340608331583415E-2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12"/>
      <c r="T118" s="312"/>
      <c r="U118" s="312"/>
    </row>
    <row r="119" spans="1:21">
      <c r="A119" t="str">
        <f t="shared" si="71"/>
        <v>92 Elementary administration and service occupations</v>
      </c>
      <c r="B119" s="11">
        <v>2.6413229067033677</v>
      </c>
      <c r="C119" s="11">
        <v>3.4638014357797484</v>
      </c>
      <c r="D119" s="11">
        <f t="shared" ref="D119" si="87">C119-B119</f>
        <v>0.82247852907638075</v>
      </c>
      <c r="E119" s="11">
        <v>1.9680100392578594</v>
      </c>
      <c r="F119" s="11">
        <f t="shared" ref="F119" si="88">SUM(D119:E119)</f>
        <v>2.79048856833424</v>
      </c>
      <c r="G119" s="177">
        <f t="shared" si="74"/>
        <v>3.7817776794836444E-2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12"/>
      <c r="T119" s="312"/>
      <c r="U119" s="312"/>
    </row>
    <row r="120" spans="1:21">
      <c r="A120" t="str">
        <f t="shared" si="71"/>
        <v>All occupations</v>
      </c>
      <c r="B120" s="11">
        <f>SUM(B94:B119)</f>
        <v>91.033181866654544</v>
      </c>
      <c r="C120" s="11">
        <f t="shared" ref="C120:F120" si="89">SUM(C94:C119)</f>
        <v>112.29678035556742</v>
      </c>
      <c r="D120" s="11">
        <f t="shared" si="89"/>
        <v>21.263598488912866</v>
      </c>
      <c r="E120" s="11">
        <f t="shared" si="89"/>
        <v>56.735715122556407</v>
      </c>
      <c r="F120" s="11">
        <f t="shared" si="89"/>
        <v>77.999313611469233</v>
      </c>
      <c r="G120" s="177">
        <f t="shared" si="74"/>
        <v>3.2822175301435497E-2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12"/>
      <c r="T120" s="312"/>
      <c r="U120" s="312"/>
    </row>
    <row r="121" spans="1:21">
      <c r="I121" s="11"/>
      <c r="J121" s="11"/>
      <c r="K121" s="11"/>
      <c r="L121" s="11"/>
      <c r="M121" s="11"/>
      <c r="N121" s="11"/>
      <c r="P121" s="11"/>
      <c r="Q121" s="11"/>
      <c r="R121" s="11"/>
      <c r="S121" s="312"/>
      <c r="T121" s="312"/>
      <c r="U121" s="312"/>
    </row>
    <row r="122" spans="1:21" ht="38.25">
      <c r="A122" s="178" t="str">
        <f>CONCATENATE(name!F7," (Constrained)")</f>
        <v>RQF5 Foundation degree;Nursing;Teaching (Constrained)</v>
      </c>
      <c r="B122" s="70">
        <f t="shared" ref="B122:G122" si="90">B35</f>
        <v>2020</v>
      </c>
      <c r="C122" s="70">
        <f t="shared" si="90"/>
        <v>2035</v>
      </c>
      <c r="D122" s="70" t="str">
        <f t="shared" si="90"/>
        <v>Net Change</v>
      </c>
      <c r="E122" s="70" t="str">
        <f t="shared" si="90"/>
        <v>Replacement Demand level</v>
      </c>
      <c r="F122" s="70" t="str">
        <f t="shared" si="90"/>
        <v>Total Requirement</v>
      </c>
      <c r="G122" s="70" t="str">
        <f t="shared" si="90"/>
        <v>Replacement Demand rate</v>
      </c>
      <c r="I122" s="67"/>
      <c r="J122" s="59"/>
      <c r="K122" s="59"/>
      <c r="L122" s="57"/>
      <c r="M122" s="57"/>
      <c r="N122" s="57"/>
      <c r="P122" s="11"/>
      <c r="Q122" s="11"/>
      <c r="R122" s="11"/>
      <c r="S122" s="312"/>
      <c r="T122" s="312"/>
      <c r="U122" s="312"/>
    </row>
    <row r="123" spans="1:21">
      <c r="A123" t="str">
        <f t="shared" ref="A123:A149" si="91">A36</f>
        <v>11 Corporate managers and directors</v>
      </c>
      <c r="B123" s="11">
        <v>1.9094439541107</v>
      </c>
      <c r="C123" s="11">
        <v>1.8574307593287285</v>
      </c>
      <c r="D123" s="11">
        <f>C123-B123</f>
        <v>-5.2013194781971528E-2</v>
      </c>
      <c r="E123" s="11">
        <v>0.94987487233303081</v>
      </c>
      <c r="F123" s="11">
        <f>SUM(D123:E123)</f>
        <v>0.89786167755105928</v>
      </c>
      <c r="G123" s="177">
        <f>IF(B123&gt;0,(1+(E123/B123))^(1/($C$6-$B$6))-1,0)</f>
        <v>2.728365435698632E-2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12"/>
      <c r="T123" s="312"/>
      <c r="U123" s="312"/>
    </row>
    <row r="124" spans="1:21">
      <c r="A124" t="str">
        <f t="shared" si="91"/>
        <v>12 Other managers and proprietors</v>
      </c>
      <c r="B124" s="11">
        <v>0.85331775459581505</v>
      </c>
      <c r="C124" s="11">
        <v>1.0168574588571169</v>
      </c>
      <c r="D124" s="11">
        <f t="shared" ref="D124:D139" si="92">C124-B124</f>
        <v>0.16353970426130182</v>
      </c>
      <c r="E124" s="11">
        <v>0.58385732480830577</v>
      </c>
      <c r="F124" s="11">
        <f t="shared" ref="F124:F131" si="93">SUM(D124:E124)</f>
        <v>0.74739702906960759</v>
      </c>
      <c r="G124" s="177">
        <f t="shared" ref="G124:G147" si="94">IF(B124&gt;0,(1+(E124/B124))^(1/($C$6-$B$6))-1,0)</f>
        <v>3.5364475401279405E-2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12"/>
      <c r="T124" s="312"/>
      <c r="U124" s="312"/>
    </row>
    <row r="125" spans="1:21">
      <c r="A125" t="str">
        <f t="shared" si="91"/>
        <v>21 Science, research, engineering and technology professionals</v>
      </c>
      <c r="B125" s="11">
        <v>0.91795069522373196</v>
      </c>
      <c r="C125" s="11">
        <v>1.125634376725285</v>
      </c>
      <c r="D125" s="11">
        <f t="shared" si="92"/>
        <v>0.20768368150155303</v>
      </c>
      <c r="E125" s="11">
        <v>0.40705455461583162</v>
      </c>
      <c r="F125" s="11">
        <f t="shared" si="93"/>
        <v>0.61473823611738465</v>
      </c>
      <c r="G125" s="177">
        <f t="shared" si="94"/>
        <v>2.4770345878779576E-2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12"/>
      <c r="T125" s="312"/>
      <c r="U125" s="312"/>
    </row>
    <row r="126" spans="1:21">
      <c r="A126" t="str">
        <f t="shared" si="91"/>
        <v>22 Health professionals</v>
      </c>
      <c r="B126" s="11">
        <v>3.3799516135765466</v>
      </c>
      <c r="C126" s="11">
        <v>0.65737753387126818</v>
      </c>
      <c r="D126" s="11">
        <f t="shared" si="92"/>
        <v>-2.7225740797052786</v>
      </c>
      <c r="E126" s="11">
        <v>0.61091256457997767</v>
      </c>
      <c r="F126" s="11">
        <f t="shared" si="93"/>
        <v>-2.1116615151253009</v>
      </c>
      <c r="G126" s="177">
        <f t="shared" si="94"/>
        <v>1.1137997369577768E-2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12"/>
      <c r="T126" s="312"/>
      <c r="U126" s="312"/>
    </row>
    <row r="127" spans="1:21">
      <c r="A127" t="str">
        <f t="shared" si="91"/>
        <v>23 Teaching and other educational professionals</v>
      </c>
      <c r="B127" s="11">
        <v>0.42480829054441882</v>
      </c>
      <c r="C127" s="11">
        <v>0.21796390815271635</v>
      </c>
      <c r="D127" s="11">
        <f t="shared" si="92"/>
        <v>-0.20684438239170247</v>
      </c>
      <c r="E127" s="11">
        <v>7.0312866520571296E-2</v>
      </c>
      <c r="F127" s="11">
        <f t="shared" si="93"/>
        <v>-0.13653151587113116</v>
      </c>
      <c r="G127" s="177">
        <f>IF(B127&gt;0,(1+(E127/B127))^(1/($C$6-$B$6))-1,0)</f>
        <v>1.0263277037588781E-2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12"/>
      <c r="T127" s="312"/>
      <c r="U127" s="312"/>
    </row>
    <row r="128" spans="1:21">
      <c r="A128" t="str">
        <f t="shared" si="91"/>
        <v>24 Business, media and public service professionals</v>
      </c>
      <c r="B128" s="11">
        <v>1.0978875781247195</v>
      </c>
      <c r="C128" s="11">
        <v>0.99700495935848099</v>
      </c>
      <c r="D128" s="11">
        <f t="shared" si="92"/>
        <v>-0.1008826187662385</v>
      </c>
      <c r="E128" s="11">
        <v>0.38047994301523835</v>
      </c>
      <c r="F128" s="11">
        <f t="shared" si="93"/>
        <v>0.27959732424899986</v>
      </c>
      <c r="G128" s="177">
        <f t="shared" si="94"/>
        <v>2.0034754937488852E-2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12"/>
      <c r="T128" s="312"/>
      <c r="U128" s="312"/>
    </row>
    <row r="129" spans="1:21">
      <c r="A129" t="str">
        <f t="shared" si="91"/>
        <v>31 Science, engineering and technology associate professionals</v>
      </c>
      <c r="B129" s="11">
        <v>0.39588247104166968</v>
      </c>
      <c r="C129" s="11">
        <v>0.50723636153270435</v>
      </c>
      <c r="D129" s="11">
        <f t="shared" si="92"/>
        <v>0.11135389049103467</v>
      </c>
      <c r="E129" s="11">
        <v>0.19936866662614089</v>
      </c>
      <c r="F129" s="11">
        <f t="shared" si="93"/>
        <v>0.31072255711717556</v>
      </c>
      <c r="G129" s="177">
        <f t="shared" si="94"/>
        <v>2.7564118608802257E-2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12"/>
      <c r="T129" s="312"/>
      <c r="U129" s="312"/>
    </row>
    <row r="130" spans="1:21">
      <c r="A130" t="str">
        <f t="shared" si="91"/>
        <v>32 Health and social care associate professionals</v>
      </c>
      <c r="B130" s="11">
        <v>1.8312643023177801</v>
      </c>
      <c r="C130" s="11">
        <v>1.3089677811542919</v>
      </c>
      <c r="D130" s="11">
        <f t="shared" si="92"/>
        <v>-0.52229652116348824</v>
      </c>
      <c r="E130" s="11">
        <v>0.8100250462153985</v>
      </c>
      <c r="F130" s="11">
        <f t="shared" si="93"/>
        <v>0.28772852505191027</v>
      </c>
      <c r="G130" s="177">
        <f t="shared" si="94"/>
        <v>2.47179174655352E-2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12"/>
      <c r="T130" s="312"/>
      <c r="U130" s="312"/>
    </row>
    <row r="131" spans="1:21">
      <c r="A131" t="str">
        <f t="shared" si="91"/>
        <v>33 Protective service occupations</v>
      </c>
      <c r="B131" s="11">
        <v>0.33206457252668936</v>
      </c>
      <c r="C131" s="11">
        <v>0.42456479066631758</v>
      </c>
      <c r="D131" s="11">
        <f t="shared" si="92"/>
        <v>9.2500218139628221E-2</v>
      </c>
      <c r="E131" s="11">
        <v>0.12749148315581629</v>
      </c>
      <c r="F131" s="11">
        <f t="shared" si="93"/>
        <v>0.21999170129544451</v>
      </c>
      <c r="G131" s="177">
        <f t="shared" si="94"/>
        <v>2.1898425391477128E-2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12"/>
      <c r="T131" s="312"/>
      <c r="U131" s="312"/>
    </row>
    <row r="132" spans="1:21">
      <c r="A132" t="str">
        <f t="shared" si="91"/>
        <v>34 Culture, media and sports occupations</v>
      </c>
      <c r="B132" s="11">
        <v>0.40391274259369137</v>
      </c>
      <c r="C132" s="11">
        <v>0.46386653221143126</v>
      </c>
      <c r="D132" s="11">
        <f t="shared" si="92"/>
        <v>5.9953789617739894E-2</v>
      </c>
      <c r="E132" s="11">
        <v>0.20327750647640594</v>
      </c>
      <c r="F132" s="11">
        <f t="shared" ref="F132:F133" si="95">SUM(D132:E132)</f>
        <v>0.26323129609414586</v>
      </c>
      <c r="G132" s="177">
        <f t="shared" si="94"/>
        <v>2.7548861206872166E-2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12"/>
      <c r="T132" s="312"/>
      <c r="U132" s="312"/>
    </row>
    <row r="133" spans="1:21">
      <c r="A133" t="str">
        <f t="shared" si="91"/>
        <v>35 Business and public service associate professionals</v>
      </c>
      <c r="B133" s="11">
        <v>2.1830122364258782</v>
      </c>
      <c r="C133" s="11">
        <v>2.4623971375195155</v>
      </c>
      <c r="D133" s="11">
        <f t="shared" si="92"/>
        <v>0.27938490109363734</v>
      </c>
      <c r="E133" s="11">
        <v>1.130411986713139</v>
      </c>
      <c r="F133" s="11">
        <f t="shared" si="95"/>
        <v>1.4097968878067764</v>
      </c>
      <c r="G133" s="177">
        <f t="shared" si="94"/>
        <v>2.8208977643306099E-2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12"/>
      <c r="T133" s="312"/>
      <c r="U133" s="312"/>
    </row>
    <row r="134" spans="1:21">
      <c r="A134" t="str">
        <f t="shared" si="91"/>
        <v>41 Administrative occupations</v>
      </c>
      <c r="B134" s="11">
        <v>3.4275540596470844</v>
      </c>
      <c r="C134" s="11">
        <v>4.5935831268623337</v>
      </c>
      <c r="D134" s="11">
        <f t="shared" si="92"/>
        <v>1.1660290672152493</v>
      </c>
      <c r="E134" s="11">
        <v>2.4367032797402635</v>
      </c>
      <c r="F134" s="11">
        <f t="shared" ref="F134:F137" si="96">SUM(D134:E134)</f>
        <v>3.6027323469555128</v>
      </c>
      <c r="G134" s="177">
        <f t="shared" si="94"/>
        <v>3.645053595746317E-2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12"/>
      <c r="T134" s="312"/>
      <c r="U134" s="312"/>
    </row>
    <row r="135" spans="1:21">
      <c r="A135" t="str">
        <f t="shared" si="91"/>
        <v>42 Secretarial and related occupations</v>
      </c>
      <c r="B135" s="11">
        <v>0.70672062399025171</v>
      </c>
      <c r="C135" s="11">
        <v>0.71589519004079505</v>
      </c>
      <c r="D135" s="11">
        <f t="shared" si="92"/>
        <v>9.1745660505433424E-3</v>
      </c>
      <c r="E135" s="11">
        <v>0.44746741854728672</v>
      </c>
      <c r="F135" s="11">
        <f t="shared" si="96"/>
        <v>0.45664198459783006</v>
      </c>
      <c r="G135" s="177">
        <f t="shared" si="94"/>
        <v>3.324168824904139E-2</v>
      </c>
      <c r="I135" s="11"/>
      <c r="J135" s="11"/>
      <c r="K135" s="11"/>
      <c r="L135" s="11"/>
      <c r="M135" s="11"/>
      <c r="N135" s="11"/>
    </row>
    <row r="136" spans="1:21">
      <c r="A136" t="str">
        <f t="shared" si="91"/>
        <v>51 Skilled agricultural and related trades</v>
      </c>
      <c r="B136" s="11">
        <v>0.13700200541335261</v>
      </c>
      <c r="C136" s="11">
        <v>0.21410150036730022</v>
      </c>
      <c r="D136" s="11">
        <f t="shared" si="92"/>
        <v>7.7099494953947606E-2</v>
      </c>
      <c r="E136" s="11">
        <v>0.12240315043702536</v>
      </c>
      <c r="F136" s="11">
        <f t="shared" si="96"/>
        <v>0.19950264539097295</v>
      </c>
      <c r="G136" s="177">
        <f t="shared" si="94"/>
        <v>4.3478356013208819E-2</v>
      </c>
      <c r="I136" s="11"/>
      <c r="J136" s="11"/>
      <c r="K136" s="11"/>
      <c r="L136" s="11"/>
      <c r="M136" s="11"/>
      <c r="N136" s="11"/>
      <c r="O136" s="56"/>
    </row>
    <row r="137" spans="1:21">
      <c r="A137" t="str">
        <f t="shared" si="91"/>
        <v>52 Skilled metal, electrical and electronic trades</v>
      </c>
      <c r="B137" s="11">
        <v>0.37271386732364625</v>
      </c>
      <c r="C137" s="11">
        <v>0.49183097322311375</v>
      </c>
      <c r="D137" s="11">
        <f t="shared" si="92"/>
        <v>0.1191171058994675</v>
      </c>
      <c r="E137" s="11">
        <v>0.18510255985581367</v>
      </c>
      <c r="F137" s="11">
        <f t="shared" si="96"/>
        <v>0.30421966575528114</v>
      </c>
      <c r="G137" s="177">
        <f t="shared" si="94"/>
        <v>2.7245821118112579E-2</v>
      </c>
      <c r="I137" s="11"/>
      <c r="J137" s="11"/>
      <c r="K137" s="11"/>
      <c r="L137" s="11"/>
      <c r="M137" s="11"/>
      <c r="N137" s="11"/>
    </row>
    <row r="138" spans="1:21">
      <c r="A138" t="str">
        <f t="shared" si="91"/>
        <v>53 Skilled construction and building trades</v>
      </c>
      <c r="B138" s="11">
        <v>0.36860761709271006</v>
      </c>
      <c r="C138" s="11">
        <v>0.48625893071102161</v>
      </c>
      <c r="D138" s="11">
        <f t="shared" si="92"/>
        <v>0.11765131361831155</v>
      </c>
      <c r="E138" s="11">
        <v>0.23154413736605528</v>
      </c>
      <c r="F138" s="11">
        <f t="shared" ref="F138" si="97">SUM(D138:E138)</f>
        <v>0.34919545098436683</v>
      </c>
      <c r="G138" s="177">
        <f t="shared" si="94"/>
        <v>3.3030438504201065E-2</v>
      </c>
      <c r="I138" s="11"/>
      <c r="J138" s="11"/>
      <c r="K138" s="11"/>
      <c r="L138" s="11"/>
      <c r="M138" s="11"/>
      <c r="N138" s="11"/>
      <c r="P138" s="67"/>
      <c r="Q138" s="59"/>
      <c r="R138" s="59"/>
      <c r="S138" s="313"/>
      <c r="T138" s="313"/>
      <c r="U138" s="313"/>
    </row>
    <row r="139" spans="1:21">
      <c r="A139" t="str">
        <f t="shared" si="91"/>
        <v>54 Textiles, printing and other skilled trades</v>
      </c>
      <c r="B139" s="11">
        <v>0.25854393497278039</v>
      </c>
      <c r="C139" s="11">
        <v>0.32379238943069005</v>
      </c>
      <c r="D139" s="11">
        <f t="shared" si="92"/>
        <v>6.5248454457909666E-2</v>
      </c>
      <c r="E139" s="11">
        <v>0.16688582235056312</v>
      </c>
      <c r="F139" s="11">
        <f t="shared" ref="F139" si="98">SUM(D139:E139)</f>
        <v>0.23213427680847279</v>
      </c>
      <c r="G139" s="177">
        <f t="shared" si="94"/>
        <v>3.3759627748740195E-2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12"/>
      <c r="T139" s="312"/>
      <c r="U139" s="312"/>
    </row>
    <row r="140" spans="1:21">
      <c r="A140" t="str">
        <f t="shared" si="91"/>
        <v>61 Caring personal service occupations</v>
      </c>
      <c r="B140" s="11">
        <v>4.2006331630226796</v>
      </c>
      <c r="C140" s="11">
        <v>4.432094981420267</v>
      </c>
      <c r="D140" s="11">
        <f>C140-B140</f>
        <v>0.23146181839758739</v>
      </c>
      <c r="E140" s="11">
        <v>2.5025205577013221</v>
      </c>
      <c r="F140" s="11">
        <f>SUM(D140:E140)</f>
        <v>2.7339823760989095</v>
      </c>
      <c r="G140" s="177">
        <f t="shared" si="94"/>
        <v>3.1646624410378132E-2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12"/>
      <c r="T140" s="312"/>
      <c r="U140" s="312"/>
    </row>
    <row r="141" spans="1:21">
      <c r="A141" t="str">
        <f t="shared" si="91"/>
        <v>62 Leisure, travel and related personal service occupations</v>
      </c>
      <c r="B141" s="11">
        <v>0.62586487366166454</v>
      </c>
      <c r="C141" s="11">
        <v>0.85244358778270313</v>
      </c>
      <c r="D141" s="11">
        <f t="shared" ref="D141:D147" si="99">C141-B141</f>
        <v>0.22657871412103858</v>
      </c>
      <c r="E141" s="11">
        <v>0.44613160352408021</v>
      </c>
      <c r="F141" s="11">
        <f t="shared" ref="F141:F142" si="100">SUM(D141:E141)</f>
        <v>0.67271031764511879</v>
      </c>
      <c r="G141" s="177">
        <f t="shared" si="94"/>
        <v>3.6527555441227877E-2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12"/>
      <c r="T141" s="312"/>
      <c r="U141" s="312"/>
    </row>
    <row r="142" spans="1:21">
      <c r="A142" t="str">
        <f t="shared" si="91"/>
        <v>63 Community and civil enforcement occupations</v>
      </c>
      <c r="B142" s="11">
        <v>2.1113658703558812E-2</v>
      </c>
      <c r="C142" s="11">
        <v>2.3137653568752872E-2</v>
      </c>
      <c r="D142" s="11">
        <f t="shared" si="99"/>
        <v>2.0239948651940599E-3</v>
      </c>
      <c r="E142" s="11">
        <v>1.1726947996042987E-2</v>
      </c>
      <c r="F142" s="11">
        <f t="shared" si="100"/>
        <v>1.3750942861237047E-2</v>
      </c>
      <c r="G142" s="177">
        <f t="shared" si="94"/>
        <v>2.9887637402001399E-2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12"/>
      <c r="T142" s="312"/>
      <c r="U142" s="312"/>
    </row>
    <row r="143" spans="1:21">
      <c r="A143" t="str">
        <f t="shared" si="91"/>
        <v>71 Sales occupations</v>
      </c>
      <c r="B143" s="11">
        <v>1.3101473766722389</v>
      </c>
      <c r="C143" s="11">
        <v>1.6573629935864123</v>
      </c>
      <c r="D143" s="11">
        <f t="shared" si="99"/>
        <v>0.34721561691417335</v>
      </c>
      <c r="E143" s="11">
        <v>0.77363420469422917</v>
      </c>
      <c r="F143" s="11">
        <f t="shared" ref="F143:F144" si="101">SUM(D143:E143)</f>
        <v>1.1208498216084024</v>
      </c>
      <c r="G143" s="177">
        <f t="shared" si="94"/>
        <v>3.1419812649255752E-2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12"/>
      <c r="T143" s="312"/>
      <c r="U143" s="312"/>
    </row>
    <row r="144" spans="1:21">
      <c r="A144" t="str">
        <f t="shared" si="91"/>
        <v>72 Customer service occupations</v>
      </c>
      <c r="B144" s="11">
        <v>0.47144578174191826</v>
      </c>
      <c r="C144" s="11">
        <v>0.77309528390440607</v>
      </c>
      <c r="D144" s="11">
        <f t="shared" si="99"/>
        <v>0.30164950216248781</v>
      </c>
      <c r="E144" s="11">
        <v>0.32770664449475867</v>
      </c>
      <c r="F144" s="11">
        <f t="shared" si="101"/>
        <v>0.62935614665724648</v>
      </c>
      <c r="G144" s="177">
        <f t="shared" si="94"/>
        <v>3.5809423700077225E-2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12"/>
      <c r="T144" s="312"/>
      <c r="U144" s="312"/>
    </row>
    <row r="145" spans="1:21">
      <c r="A145" t="str">
        <f t="shared" si="91"/>
        <v>81 Process, plant and machine operatives</v>
      </c>
      <c r="B145" s="11">
        <v>0.27664983738928806</v>
      </c>
      <c r="C145" s="11">
        <v>0.44036906790970776</v>
      </c>
      <c r="D145" s="11">
        <f t="shared" si="99"/>
        <v>0.1637192305204197</v>
      </c>
      <c r="E145" s="11">
        <v>0.17350269468195548</v>
      </c>
      <c r="F145" s="11">
        <f t="shared" ref="F145:F146" si="102">SUM(D145:E145)</f>
        <v>0.33722192520237515</v>
      </c>
      <c r="G145" s="177">
        <f t="shared" si="94"/>
        <v>3.298802084137753E-2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12"/>
      <c r="T145" s="312"/>
      <c r="U145" s="312"/>
    </row>
    <row r="146" spans="1:21">
      <c r="A146" t="str">
        <f t="shared" si="91"/>
        <v>82 Transport and mobile machine drivers and operatives</v>
      </c>
      <c r="B146" s="11">
        <v>0.46228951818627984</v>
      </c>
      <c r="C146" s="11">
        <v>0.73448343883999434</v>
      </c>
      <c r="D146" s="11">
        <f t="shared" si="99"/>
        <v>0.27219392065371451</v>
      </c>
      <c r="E146" s="11">
        <v>0.38590528318381845</v>
      </c>
      <c r="F146" s="11">
        <f t="shared" si="102"/>
        <v>0.65809920383753295</v>
      </c>
      <c r="G146" s="177">
        <f t="shared" si="94"/>
        <v>4.1290974199986952E-2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12"/>
      <c r="T146" s="312"/>
      <c r="U146" s="312"/>
    </row>
    <row r="147" spans="1:21">
      <c r="A147" t="str">
        <f t="shared" si="91"/>
        <v>91 Elementary trades and related occupations</v>
      </c>
      <c r="B147" s="11">
        <v>0.20495657990485608</v>
      </c>
      <c r="C147" s="11">
        <v>0.88279371516376515</v>
      </c>
      <c r="D147" s="11">
        <f t="shared" si="99"/>
        <v>0.6778371352589091</v>
      </c>
      <c r="E147" s="11">
        <v>0.46811204008986418</v>
      </c>
      <c r="F147" s="11">
        <f t="shared" ref="F147" si="103">SUM(D147:E147)</f>
        <v>1.1459491753487732</v>
      </c>
      <c r="G147" s="177">
        <f t="shared" si="94"/>
        <v>8.2496494223071259E-2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12"/>
      <c r="T147" s="312"/>
      <c r="U147" s="312"/>
    </row>
    <row r="148" spans="1:21">
      <c r="A148" t="str">
        <f t="shared" si="91"/>
        <v>92 Elementary administration and service occupations</v>
      </c>
      <c r="B148" s="11">
        <v>1.2543753307393342</v>
      </c>
      <c r="C148" s="11">
        <v>1.7025810300778372</v>
      </c>
      <c r="D148" s="11">
        <f t="shared" ref="D148" si="104">C148-B148</f>
        <v>0.44820569933850307</v>
      </c>
      <c r="E148" s="11">
        <v>0.86732867628261101</v>
      </c>
      <c r="F148" s="11">
        <f t="shared" ref="F148" si="105">SUM(D148:E148)</f>
        <v>1.3155343756211142</v>
      </c>
      <c r="G148" s="177">
        <f t="shared" ref="G148:G149" si="106">IF(B148&gt;0,(1+(E148/B148))^(1/($C$6-$B$6))-1,0)</f>
        <v>3.5659880472457051E-2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12"/>
      <c r="T148" s="312"/>
      <c r="U148" s="312"/>
    </row>
    <row r="149" spans="1:21">
      <c r="A149" t="str">
        <f t="shared" si="91"/>
        <v>All occupations</v>
      </c>
      <c r="B149" s="11">
        <f>SUM(B123:B148)</f>
        <v>27.828114439543285</v>
      </c>
      <c r="C149" s="11">
        <f t="shared" ref="C149:F149" si="107">SUM(C123:C148)</f>
        <v>29.363125462266954</v>
      </c>
      <c r="D149" s="11">
        <f t="shared" si="107"/>
        <v>1.5350110227236722</v>
      </c>
      <c r="E149" s="11">
        <f t="shared" si="107"/>
        <v>15.019741836005547</v>
      </c>
      <c r="F149" s="11">
        <f t="shared" si="107"/>
        <v>16.55475285872922</v>
      </c>
      <c r="G149" s="177">
        <f t="shared" si="106"/>
        <v>2.9191888110438269E-2</v>
      </c>
      <c r="P149" s="11"/>
      <c r="Q149" s="11"/>
      <c r="R149" s="11"/>
      <c r="S149" s="312"/>
      <c r="T149" s="312"/>
      <c r="U149" s="312"/>
    </row>
    <row r="150" spans="1:21">
      <c r="B150" s="11"/>
      <c r="C150" s="11"/>
      <c r="D150" s="11"/>
      <c r="E150" s="11"/>
      <c r="F150" s="11"/>
      <c r="G150" s="11"/>
      <c r="P150" s="11"/>
      <c r="Q150" s="11"/>
      <c r="R150" s="11"/>
      <c r="S150" s="312"/>
      <c r="T150" s="312"/>
      <c r="U150" s="312"/>
    </row>
    <row r="151" spans="1:21" ht="38.25">
      <c r="A151" s="178" t="str">
        <f>CONCATENATE(name!F8," (Constrained)")</f>
        <v>RQF4 HE below degree level (Constrained)</v>
      </c>
      <c r="B151" s="70">
        <f t="shared" ref="B151:G151" si="108">B64</f>
        <v>2020</v>
      </c>
      <c r="C151" s="70">
        <f t="shared" si="108"/>
        <v>2035</v>
      </c>
      <c r="D151" s="70" t="str">
        <f t="shared" si="108"/>
        <v>Net Change</v>
      </c>
      <c r="E151" s="70" t="str">
        <f t="shared" si="108"/>
        <v>Replacement Demand level</v>
      </c>
      <c r="F151" s="70" t="str">
        <f t="shared" si="108"/>
        <v>Total Requirement</v>
      </c>
      <c r="G151" s="70" t="str">
        <f t="shared" si="108"/>
        <v>Replacement Demand rate</v>
      </c>
      <c r="P151" s="11"/>
      <c r="Q151" s="11"/>
      <c r="R151" s="11"/>
      <c r="S151" s="312"/>
      <c r="T151" s="312"/>
      <c r="U151" s="312"/>
    </row>
    <row r="152" spans="1:21">
      <c r="A152" t="str">
        <f t="shared" ref="A152:A178" si="109">A65</f>
        <v>11 Corporate managers and directors</v>
      </c>
      <c r="B152" s="11">
        <v>2.6572479443795842</v>
      </c>
      <c r="C152" s="11">
        <v>2.4109149599121791</v>
      </c>
      <c r="D152" s="11">
        <f>C152-B152</f>
        <v>-0.24633298446740515</v>
      </c>
      <c r="E152" s="11">
        <v>1.2574346204155671</v>
      </c>
      <c r="F152" s="11">
        <f>SUM(D152:E152)</f>
        <v>1.0111016359481619</v>
      </c>
      <c r="G152" s="177">
        <f>IF(B152&gt;0,(1+(E152/B152))^(1/($C$6-$B$6))-1,0)</f>
        <v>2.616602456080086E-2</v>
      </c>
      <c r="I152" s="67"/>
      <c r="J152" s="59"/>
      <c r="K152" s="59"/>
      <c r="L152" s="57"/>
      <c r="M152" s="57"/>
      <c r="N152" s="57"/>
      <c r="P152" s="11"/>
      <c r="Q152" s="11"/>
      <c r="R152" s="11"/>
      <c r="S152" s="312"/>
      <c r="T152" s="312"/>
      <c r="U152" s="312"/>
    </row>
    <row r="153" spans="1:21">
      <c r="A153" t="str">
        <f t="shared" si="109"/>
        <v>12 Other managers and proprietors</v>
      </c>
      <c r="B153" s="11">
        <v>0.94037846112169443</v>
      </c>
      <c r="C153" s="11">
        <v>1.1648520226712309</v>
      </c>
      <c r="D153" s="11">
        <f t="shared" ref="D153:D168" si="110">C153-B153</f>
        <v>0.22447356154953646</v>
      </c>
      <c r="E153" s="11">
        <v>0.63606430956603832</v>
      </c>
      <c r="F153" s="11">
        <f t="shared" ref="F153:F160" si="111">SUM(D153:E153)</f>
        <v>0.86053787111557478</v>
      </c>
      <c r="G153" s="177">
        <f t="shared" ref="G153:G155" si="112">IF(B153&gt;0,(1+(E153/B153))^(1/($C$6-$B$6))-1,0)</f>
        <v>3.5042943980537533E-2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12"/>
      <c r="T153" s="312"/>
      <c r="U153" s="312"/>
    </row>
    <row r="154" spans="1:21">
      <c r="A154" t="str">
        <f t="shared" si="109"/>
        <v>21 Science, research, engineering and technology professionals</v>
      </c>
      <c r="B154" s="11">
        <v>2.5907172598473176</v>
      </c>
      <c r="C154" s="11">
        <v>2.7657882842073427</v>
      </c>
      <c r="D154" s="11">
        <f t="shared" si="110"/>
        <v>0.17507102436002508</v>
      </c>
      <c r="E154" s="11">
        <v>0.96863590356318841</v>
      </c>
      <c r="F154" s="11">
        <f t="shared" si="111"/>
        <v>1.1437069279232135</v>
      </c>
      <c r="G154" s="177">
        <f t="shared" si="112"/>
        <v>2.1402079064319901E-2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12"/>
      <c r="T154" s="312"/>
      <c r="U154" s="312"/>
    </row>
    <row r="155" spans="1:21">
      <c r="A155" t="str">
        <f t="shared" si="109"/>
        <v>22 Health professionals</v>
      </c>
      <c r="B155" s="11">
        <v>0.63783575488146127</v>
      </c>
      <c r="C155" s="11">
        <v>0.67897257245988762</v>
      </c>
      <c r="D155" s="11">
        <f t="shared" si="110"/>
        <v>4.1136817578426355E-2</v>
      </c>
      <c r="E155" s="11">
        <v>0.33299233549072688</v>
      </c>
      <c r="F155" s="11">
        <f t="shared" si="111"/>
        <v>0.37412915306915323</v>
      </c>
      <c r="G155" s="177">
        <f t="shared" si="112"/>
        <v>2.8400387354481804E-2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12"/>
      <c r="T155" s="312"/>
      <c r="U155" s="312"/>
    </row>
    <row r="156" spans="1:21">
      <c r="A156" t="str">
        <f t="shared" si="109"/>
        <v>23 Teaching and other educational professionals</v>
      </c>
      <c r="B156" s="11">
        <v>0.19372067322514883</v>
      </c>
      <c r="C156" s="11">
        <v>0.11557979834342831</v>
      </c>
      <c r="D156" s="11">
        <f t="shared" si="110"/>
        <v>-7.8140874881720515E-2</v>
      </c>
      <c r="E156" s="11">
        <v>6.8080610305129241E-2</v>
      </c>
      <c r="F156" s="11">
        <f t="shared" si="111"/>
        <v>-1.0060264576591274E-2</v>
      </c>
      <c r="G156" s="177">
        <f>IF(B156&gt;0,(1+(E156/B156))^(1/($C$6-$B$6))-1,0)</f>
        <v>2.0280814317191309E-2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12"/>
      <c r="T156" s="312"/>
      <c r="U156" s="312"/>
    </row>
    <row r="157" spans="1:21">
      <c r="A157" t="str">
        <f t="shared" si="109"/>
        <v>24 Business, media and public service professionals</v>
      </c>
      <c r="B157" s="11">
        <v>1.6282969546287989</v>
      </c>
      <c r="C157" s="11">
        <v>1.7441712258328581</v>
      </c>
      <c r="D157" s="11">
        <f t="shared" si="110"/>
        <v>0.11587427120405924</v>
      </c>
      <c r="E157" s="11">
        <v>0.80430112580710522</v>
      </c>
      <c r="F157" s="11">
        <f t="shared" si="111"/>
        <v>0.92017539701116446</v>
      </c>
      <c r="G157" s="177">
        <f t="shared" ref="G157:G178" si="113">IF(B157&gt;0,(1+(E157/B157))^(1/($C$6-$B$6))-1,0)</f>
        <v>2.712298961390891E-2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12"/>
      <c r="T157" s="312"/>
      <c r="U157" s="312"/>
    </row>
    <row r="158" spans="1:21">
      <c r="A158" t="str">
        <f t="shared" si="109"/>
        <v>31 Science, engineering and technology associate professionals</v>
      </c>
      <c r="B158" s="11">
        <v>0.92364501368193619</v>
      </c>
      <c r="C158" s="11">
        <v>0.75919562600292712</v>
      </c>
      <c r="D158" s="11">
        <f t="shared" si="110"/>
        <v>-0.16444938767900907</v>
      </c>
      <c r="E158" s="11">
        <v>0.29367876171319174</v>
      </c>
      <c r="F158" s="11">
        <f t="shared" si="111"/>
        <v>0.12922937403418266</v>
      </c>
      <c r="G158" s="177">
        <f t="shared" si="113"/>
        <v>1.85759107992991E-2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12"/>
      <c r="T158" s="312"/>
      <c r="U158" s="312"/>
    </row>
    <row r="159" spans="1:21">
      <c r="A159" t="str">
        <f t="shared" si="109"/>
        <v>32 Health and social care associate professionals</v>
      </c>
      <c r="B159" s="11">
        <v>0.4868168356526329</v>
      </c>
      <c r="C159" s="11">
        <v>0.84120850129761737</v>
      </c>
      <c r="D159" s="11">
        <f t="shared" si="110"/>
        <v>0.35439166564498448</v>
      </c>
      <c r="E159" s="11">
        <v>0.42133084571719853</v>
      </c>
      <c r="F159" s="11">
        <f t="shared" si="111"/>
        <v>0.77572251136218306</v>
      </c>
      <c r="G159" s="177">
        <f t="shared" si="113"/>
        <v>4.2443980672053128E-2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12"/>
      <c r="T159" s="312"/>
      <c r="U159" s="312"/>
    </row>
    <row r="160" spans="1:21">
      <c r="A160" t="str">
        <f t="shared" si="109"/>
        <v>33 Protective service occupations</v>
      </c>
      <c r="B160" s="11">
        <v>0.26767528822835562</v>
      </c>
      <c r="C160" s="11">
        <v>0.25639241955941589</v>
      </c>
      <c r="D160" s="11">
        <f t="shared" si="110"/>
        <v>-1.1282868668939738E-2</v>
      </c>
      <c r="E160" s="11">
        <v>8.8558037479151572E-2</v>
      </c>
      <c r="F160" s="11">
        <f t="shared" si="111"/>
        <v>7.7275168810211833E-2</v>
      </c>
      <c r="G160" s="177">
        <f t="shared" si="113"/>
        <v>1.9236773609418112E-2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12"/>
      <c r="T160" s="312"/>
      <c r="U160" s="312"/>
    </row>
    <row r="161" spans="1:21">
      <c r="A161" t="str">
        <f t="shared" si="109"/>
        <v>34 Culture, media and sports occupations</v>
      </c>
      <c r="B161" s="11">
        <v>0.44941487694805166</v>
      </c>
      <c r="C161" s="11">
        <v>0.37875592591330393</v>
      </c>
      <c r="D161" s="11">
        <f t="shared" si="110"/>
        <v>-7.065895103474773E-2</v>
      </c>
      <c r="E161" s="11">
        <v>0.18006279794574451</v>
      </c>
      <c r="F161" s="11">
        <f t="shared" ref="F161:F162" si="114">SUM(D161:E161)</f>
        <v>0.10940384691099678</v>
      </c>
      <c r="G161" s="177">
        <f t="shared" si="113"/>
        <v>2.2717119620275339E-2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12"/>
      <c r="T161" s="312"/>
      <c r="U161" s="312"/>
    </row>
    <row r="162" spans="1:21">
      <c r="A162" t="str">
        <f t="shared" si="109"/>
        <v>35 Business and public service associate professionals</v>
      </c>
      <c r="B162" s="11">
        <v>1.9063882231556719</v>
      </c>
      <c r="C162" s="11">
        <v>2.1264567102344079</v>
      </c>
      <c r="D162" s="11">
        <f t="shared" si="110"/>
        <v>0.22006848707873594</v>
      </c>
      <c r="E162" s="11">
        <v>0.95234169425550197</v>
      </c>
      <c r="F162" s="11">
        <f t="shared" si="114"/>
        <v>1.172410181334238</v>
      </c>
      <c r="G162" s="177">
        <f t="shared" si="113"/>
        <v>2.7379238946009021E-2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12"/>
      <c r="T162" s="312"/>
      <c r="U162" s="312"/>
    </row>
    <row r="163" spans="1:21">
      <c r="A163" t="str">
        <f t="shared" si="109"/>
        <v>41 Administrative occupations</v>
      </c>
      <c r="B163" s="11">
        <v>3.1883325092039434</v>
      </c>
      <c r="C163" s="11">
        <v>3.8878374636270778</v>
      </c>
      <c r="D163" s="11">
        <f t="shared" si="110"/>
        <v>0.69950495442313443</v>
      </c>
      <c r="E163" s="11">
        <v>1.9632355389815779</v>
      </c>
      <c r="F163" s="11">
        <f t="shared" ref="F163:F166" si="115">SUM(D163:E163)</f>
        <v>2.6627404934047121</v>
      </c>
      <c r="G163" s="177">
        <f t="shared" si="113"/>
        <v>3.2503951052679891E-2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12"/>
      <c r="T163" s="312"/>
      <c r="U163" s="312"/>
    </row>
    <row r="164" spans="1:21">
      <c r="A164" t="str">
        <f t="shared" si="109"/>
        <v>42 Secretarial and related occupations</v>
      </c>
      <c r="B164" s="11">
        <v>0.55548511552801272</v>
      </c>
      <c r="C164" s="11">
        <v>0.59338629507473184</v>
      </c>
      <c r="D164" s="11">
        <f t="shared" si="110"/>
        <v>3.7901179546719121E-2</v>
      </c>
      <c r="E164" s="11">
        <v>0.33287746709956156</v>
      </c>
      <c r="F164" s="11">
        <f t="shared" si="115"/>
        <v>0.37077864664628069</v>
      </c>
      <c r="G164" s="177">
        <f t="shared" si="113"/>
        <v>3.1797620809980165E-2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12"/>
      <c r="T164" s="312"/>
      <c r="U164" s="312"/>
    </row>
    <row r="165" spans="1:21">
      <c r="A165" t="str">
        <f t="shared" si="109"/>
        <v>51 Skilled agricultural and related trades</v>
      </c>
      <c r="B165" s="11">
        <v>0.27409151494287032</v>
      </c>
      <c r="C165" s="11">
        <v>0.46477818039310625</v>
      </c>
      <c r="D165" s="11">
        <f t="shared" si="110"/>
        <v>0.19068666545023594</v>
      </c>
      <c r="E165" s="11">
        <v>0.22113316916484793</v>
      </c>
      <c r="F165" s="11">
        <f t="shared" si="115"/>
        <v>0.41181983461508387</v>
      </c>
      <c r="G165" s="177">
        <f t="shared" si="113"/>
        <v>4.0224582626551708E-2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12"/>
      <c r="T165" s="312"/>
      <c r="U165" s="312"/>
    </row>
    <row r="166" spans="1:21">
      <c r="A166" t="str">
        <f t="shared" si="109"/>
        <v>52 Skilled metal, electrical and electronic trades</v>
      </c>
      <c r="B166" s="11">
        <v>1.7895018474807844</v>
      </c>
      <c r="C166" s="11">
        <v>2.0330796559656514</v>
      </c>
      <c r="D166" s="11">
        <f t="shared" si="110"/>
        <v>0.24357780848486699</v>
      </c>
      <c r="E166" s="11">
        <v>0.81702595460087923</v>
      </c>
      <c r="F166" s="11">
        <f t="shared" si="115"/>
        <v>1.0606037630857461</v>
      </c>
      <c r="G166" s="177">
        <f t="shared" si="113"/>
        <v>2.5389062627554138E-2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12"/>
      <c r="T166" s="312"/>
      <c r="U166" s="312"/>
    </row>
    <row r="167" spans="1:21">
      <c r="A167" t="str">
        <f t="shared" si="109"/>
        <v>53 Skilled construction and building trades</v>
      </c>
      <c r="B167" s="11">
        <v>0.53358704843977633</v>
      </c>
      <c r="C167" s="11">
        <v>0.61209229997091263</v>
      </c>
      <c r="D167" s="11">
        <f t="shared" si="110"/>
        <v>7.85052515311363E-2</v>
      </c>
      <c r="E167" s="11">
        <v>0.29680826063665228</v>
      </c>
      <c r="F167" s="11">
        <f t="shared" ref="F167" si="116">SUM(D167:E167)</f>
        <v>0.37531351216778858</v>
      </c>
      <c r="G167" s="177">
        <f t="shared" si="113"/>
        <v>2.9924305164060527E-2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12"/>
      <c r="T167" s="312"/>
      <c r="U167" s="312"/>
    </row>
    <row r="168" spans="1:21">
      <c r="A168" t="str">
        <f t="shared" si="109"/>
        <v>54 Textiles, printing and other skilled trades</v>
      </c>
      <c r="B168" s="11">
        <v>0.28979790364263391</v>
      </c>
      <c r="C168" s="11">
        <v>0.37459648726149575</v>
      </c>
      <c r="D168" s="11">
        <f t="shared" si="110"/>
        <v>8.4798583618861834E-2</v>
      </c>
      <c r="E168" s="11">
        <v>0.17915709436709035</v>
      </c>
      <c r="F168" s="11">
        <f t="shared" ref="F168" si="117">SUM(D168:E168)</f>
        <v>0.26395567798595221</v>
      </c>
      <c r="G168" s="177">
        <f t="shared" si="113"/>
        <v>3.2608578378532149E-2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12"/>
      <c r="T168" s="312"/>
      <c r="U168" s="312"/>
    </row>
    <row r="169" spans="1:21">
      <c r="A169" t="str">
        <f t="shared" si="109"/>
        <v>61 Caring personal service occupations</v>
      </c>
      <c r="B169" s="11">
        <v>2.3387631540885168</v>
      </c>
      <c r="C169" s="11">
        <v>2.6553114034887897</v>
      </c>
      <c r="D169" s="11">
        <f>C169-B169</f>
        <v>0.31654824940027293</v>
      </c>
      <c r="E169" s="11">
        <v>1.478122160770349</v>
      </c>
      <c r="F169" s="11">
        <f>SUM(D169:E169)</f>
        <v>1.7946704101706219</v>
      </c>
      <c r="G169" s="177">
        <f t="shared" si="113"/>
        <v>3.3193165117639145E-2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12"/>
      <c r="T169" s="312"/>
      <c r="U169" s="312"/>
    </row>
    <row r="170" spans="1:21">
      <c r="A170" t="str">
        <f t="shared" si="109"/>
        <v>62 Leisure, travel and related personal service occupations</v>
      </c>
      <c r="B170" s="11">
        <v>0.72455408037163693</v>
      </c>
      <c r="C170" s="11">
        <v>1.0224081237166951</v>
      </c>
      <c r="D170" s="11">
        <f t="shared" ref="D170:D176" si="118">C170-B170</f>
        <v>0.29785404334505816</v>
      </c>
      <c r="E170" s="11">
        <v>0.52981251382272898</v>
      </c>
      <c r="F170" s="11">
        <f t="shared" ref="F170:F171" si="119">SUM(D170:E170)</f>
        <v>0.82766655716778714</v>
      </c>
      <c r="G170" s="177">
        <f t="shared" si="113"/>
        <v>3.7266244209352983E-2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12"/>
      <c r="T170" s="312"/>
      <c r="U170" s="312"/>
    </row>
    <row r="171" spans="1:21">
      <c r="A171" t="str">
        <f t="shared" si="109"/>
        <v>63 Community and civil enforcement occupations</v>
      </c>
      <c r="B171" s="11">
        <v>2.058998577755608E-2</v>
      </c>
      <c r="C171" s="11">
        <v>1.8127067482933423E-2</v>
      </c>
      <c r="D171" s="11">
        <f t="shared" si="118"/>
        <v>-2.4629182946226576E-3</v>
      </c>
      <c r="E171" s="11">
        <v>1.1627705127141829E-2</v>
      </c>
      <c r="F171" s="11">
        <f t="shared" si="119"/>
        <v>9.1647868325191711E-3</v>
      </c>
      <c r="G171" s="177">
        <f t="shared" si="113"/>
        <v>3.0297290234356344E-2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12"/>
      <c r="T171" s="312"/>
      <c r="U171" s="312"/>
    </row>
    <row r="172" spans="1:21">
      <c r="A172" t="str">
        <f t="shared" si="109"/>
        <v>71 Sales occupations</v>
      </c>
      <c r="B172" s="11">
        <v>1.0877926018386168</v>
      </c>
      <c r="C172" s="11">
        <v>1.2845101864718134</v>
      </c>
      <c r="D172" s="11">
        <f t="shared" si="118"/>
        <v>0.19671758463319655</v>
      </c>
      <c r="E172" s="11">
        <v>0.53341634133115001</v>
      </c>
      <c r="F172" s="11">
        <f t="shared" ref="F172:F173" si="120">SUM(D172:E172)</f>
        <v>0.73013392596434656</v>
      </c>
      <c r="G172" s="177">
        <f t="shared" si="113"/>
        <v>2.6958418364718684E-2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12"/>
      <c r="T172" s="312"/>
      <c r="U172" s="312"/>
    </row>
    <row r="173" spans="1:21">
      <c r="A173" t="str">
        <f t="shared" si="109"/>
        <v>72 Customer service occupations</v>
      </c>
      <c r="B173" s="11">
        <v>0.69786080065493294</v>
      </c>
      <c r="C173" s="11">
        <v>0.9805590210433095</v>
      </c>
      <c r="D173" s="11">
        <f t="shared" si="118"/>
        <v>0.28269822038837655</v>
      </c>
      <c r="E173" s="11">
        <v>0.40053729386887965</v>
      </c>
      <c r="F173" s="11">
        <f t="shared" si="120"/>
        <v>0.68323551425725615</v>
      </c>
      <c r="G173" s="177">
        <f t="shared" si="113"/>
        <v>3.0701079960477884E-2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12"/>
      <c r="T173" s="312"/>
      <c r="U173" s="312"/>
    </row>
    <row r="174" spans="1:21">
      <c r="A174" t="str">
        <f t="shared" si="109"/>
        <v>81 Process, plant and machine operatives</v>
      </c>
      <c r="B174" s="11">
        <v>0.62767027926463737</v>
      </c>
      <c r="C174" s="11">
        <v>0.99054743126400624</v>
      </c>
      <c r="D174" s="11">
        <f t="shared" si="118"/>
        <v>0.36287715199936887</v>
      </c>
      <c r="E174" s="11">
        <v>0.40026117289270557</v>
      </c>
      <c r="F174" s="11">
        <f t="shared" ref="F174:F175" si="121">SUM(D174:E174)</f>
        <v>0.76313832489207445</v>
      </c>
      <c r="G174" s="177">
        <f t="shared" si="113"/>
        <v>3.3432636277670236E-2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12"/>
      <c r="T174" s="312"/>
      <c r="U174" s="312"/>
    </row>
    <row r="175" spans="1:21">
      <c r="A175" t="str">
        <f t="shared" si="109"/>
        <v>82 Transport and mobile machine drivers and operatives</v>
      </c>
      <c r="B175" s="11">
        <v>0.71683022955518472</v>
      </c>
      <c r="C175" s="11">
        <v>1.0343822897184964</v>
      </c>
      <c r="D175" s="11">
        <f t="shared" si="118"/>
        <v>0.31755206016331172</v>
      </c>
      <c r="E175" s="11">
        <v>0.5732819889525117</v>
      </c>
      <c r="F175" s="11">
        <f t="shared" si="121"/>
        <v>0.89083404911582342</v>
      </c>
      <c r="G175" s="177">
        <f t="shared" si="113"/>
        <v>3.9953877276825311E-2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12"/>
      <c r="T175" s="312"/>
      <c r="U175" s="312"/>
    </row>
    <row r="176" spans="1:21">
      <c r="A176" t="str">
        <f t="shared" si="109"/>
        <v>91 Elementary trades and related occupations</v>
      </c>
      <c r="B176" s="11">
        <v>0.23917310083157725</v>
      </c>
      <c r="C176" s="11">
        <v>1.0117713863292546</v>
      </c>
      <c r="D176" s="11">
        <f t="shared" si="118"/>
        <v>0.77259828549767728</v>
      </c>
      <c r="E176" s="11">
        <v>0.49678495259092781</v>
      </c>
      <c r="F176" s="11">
        <f t="shared" ref="F176" si="122">SUM(D176:E176)</f>
        <v>1.2693832380886052</v>
      </c>
      <c r="G176" s="177">
        <f t="shared" si="113"/>
        <v>7.7811257009961832E-2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12"/>
      <c r="T176" s="312"/>
      <c r="U176" s="312"/>
    </row>
    <row r="177" spans="1:21">
      <c r="A177" t="str">
        <f t="shared" si="109"/>
        <v>92 Elementary administration and service occupations</v>
      </c>
      <c r="B177" s="11">
        <v>1.1941374659678323</v>
      </c>
      <c r="C177" s="11">
        <v>1.5497068647464707</v>
      </c>
      <c r="D177" s="11">
        <f t="shared" ref="D177" si="123">C177-B177</f>
        <v>0.35556939877863836</v>
      </c>
      <c r="E177" s="11">
        <v>0.82051324101484202</v>
      </c>
      <c r="F177" s="11">
        <f t="shared" ref="F177" si="124">SUM(D177:E177)</f>
        <v>1.1760826397934805</v>
      </c>
      <c r="G177" s="177">
        <f t="shared" si="113"/>
        <v>3.5483133029027281E-2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12"/>
      <c r="T177" s="312"/>
      <c r="U177" s="312"/>
    </row>
    <row r="178" spans="1:21">
      <c r="A178" t="str">
        <f t="shared" si="109"/>
        <v>All occupations</v>
      </c>
      <c r="B178" s="11">
        <f>SUM(B152:B177)</f>
        <v>26.960304923339166</v>
      </c>
      <c r="C178" s="11">
        <f t="shared" ref="C178:F178" si="125">SUM(C152:C177)</f>
        <v>31.755382202989345</v>
      </c>
      <c r="D178" s="11">
        <f t="shared" si="125"/>
        <v>4.7950772796501777</v>
      </c>
      <c r="E178" s="11">
        <f t="shared" si="125"/>
        <v>15.058075897480387</v>
      </c>
      <c r="F178" s="11">
        <f t="shared" si="125"/>
        <v>19.853153177130572</v>
      </c>
      <c r="G178" s="177">
        <f t="shared" si="113"/>
        <v>3.0024688113333919E-2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12"/>
      <c r="T178" s="312"/>
      <c r="U178" s="312"/>
    </row>
    <row r="179" spans="1:21">
      <c r="I179" s="11"/>
      <c r="J179" s="11"/>
      <c r="K179" s="11"/>
      <c r="L179" s="11"/>
      <c r="M179" s="11"/>
      <c r="N179" s="11"/>
      <c r="P179" s="11"/>
      <c r="Q179" s="11"/>
      <c r="R179" s="11"/>
      <c r="S179" s="312"/>
      <c r="T179" s="312"/>
      <c r="U179" s="312"/>
    </row>
    <row r="180" spans="1:21" ht="38.25">
      <c r="A180" s="178" t="str">
        <f>CONCATENATE(name!F9," (Constrained)")</f>
        <v>RQF3 A level &amp; equivalent (Constrained)</v>
      </c>
      <c r="B180" s="70">
        <f t="shared" ref="B180:G180" si="126">B93</f>
        <v>2020</v>
      </c>
      <c r="C180" s="70">
        <f t="shared" si="126"/>
        <v>2035</v>
      </c>
      <c r="D180" s="70" t="str">
        <f t="shared" si="126"/>
        <v>Net Change</v>
      </c>
      <c r="E180" s="70" t="str">
        <f t="shared" si="126"/>
        <v>Replacement Demand level</v>
      </c>
      <c r="F180" s="70" t="str">
        <f t="shared" si="126"/>
        <v>Total Requirement</v>
      </c>
      <c r="G180" s="70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12"/>
      <c r="T180" s="312"/>
      <c r="U180" s="312"/>
    </row>
    <row r="181" spans="1:21">
      <c r="A181" t="str">
        <f t="shared" ref="A181:A207" si="127">A94</f>
        <v>11 Corporate managers and directors</v>
      </c>
      <c r="B181" s="11">
        <v>6.6115979009734014</v>
      </c>
      <c r="C181" s="11">
        <v>6.3573571749324245</v>
      </c>
      <c r="D181" s="11">
        <f>C181-B181</f>
        <v>-0.25424072604097692</v>
      </c>
      <c r="E181" s="11">
        <v>2.7226179474130774</v>
      </c>
      <c r="F181" s="11">
        <f>SUM(D181:E181)</f>
        <v>2.4683772213721005</v>
      </c>
      <c r="G181" s="177">
        <f>IF(B181&gt;0,(1+(E181/B181))^(1/($C$6-$B$6))-1,0)</f>
        <v>2.3257085129023247E-2</v>
      </c>
      <c r="I181" s="11"/>
      <c r="J181" s="11"/>
      <c r="K181" s="11"/>
      <c r="L181" s="11"/>
      <c r="M181" s="11"/>
      <c r="N181" s="11"/>
      <c r="P181" s="64"/>
      <c r="Q181" s="58"/>
    </row>
    <row r="182" spans="1:21">
      <c r="A182" t="str">
        <f t="shared" si="127"/>
        <v>12 Other managers and proprietors</v>
      </c>
      <c r="B182" s="11">
        <v>2.2907918513365759</v>
      </c>
      <c r="C182" s="11">
        <v>2.4476089278189153</v>
      </c>
      <c r="D182" s="11">
        <f t="shared" ref="D182:D197" si="128">C182-B182</f>
        <v>0.15681707648233933</v>
      </c>
      <c r="E182" s="11">
        <v>1.0852522504674289</v>
      </c>
      <c r="F182" s="11">
        <f t="shared" ref="F182:F189" si="129">SUM(D182:E182)</f>
        <v>1.2420693269497682</v>
      </c>
      <c r="G182" s="177">
        <f t="shared" ref="G182:G184" si="130">IF(B182&gt;0,(1+(E182/B182))^(1/($C$6-$B$6))-1,0)</f>
        <v>2.6190914933406528E-2</v>
      </c>
      <c r="I182" s="11"/>
      <c r="J182" s="11"/>
      <c r="K182" s="11"/>
      <c r="L182" s="11"/>
      <c r="M182" s="11"/>
      <c r="N182" s="11"/>
    </row>
    <row r="183" spans="1:21">
      <c r="A183" t="str">
        <f t="shared" si="127"/>
        <v>21 Science, research, engineering and technology professionals</v>
      </c>
      <c r="B183" s="11">
        <v>4.1254865509646281</v>
      </c>
      <c r="C183" s="11">
        <v>5.1015064905764831</v>
      </c>
      <c r="D183" s="11">
        <f t="shared" si="128"/>
        <v>0.97601993961185496</v>
      </c>
      <c r="E183" s="11">
        <v>1.4564788465396696</v>
      </c>
      <c r="F183" s="11">
        <f t="shared" si="129"/>
        <v>2.4324987861515246</v>
      </c>
      <c r="G183" s="177">
        <f t="shared" si="130"/>
        <v>2.036165832574488E-2</v>
      </c>
      <c r="I183" s="11"/>
      <c r="J183" s="11"/>
      <c r="K183" s="11"/>
      <c r="L183" s="11"/>
      <c r="M183" s="11"/>
      <c r="N183" s="11"/>
    </row>
    <row r="184" spans="1:21">
      <c r="A184" t="str">
        <f t="shared" si="127"/>
        <v>22 Health professionals</v>
      </c>
      <c r="B184" s="11">
        <v>2.8003145404171743</v>
      </c>
      <c r="C184" s="11">
        <v>2.7258105429585204</v>
      </c>
      <c r="D184" s="11">
        <f t="shared" si="128"/>
        <v>-7.4503997458653881E-2</v>
      </c>
      <c r="E184" s="11">
        <v>1.5922746650213426</v>
      </c>
      <c r="F184" s="11">
        <f t="shared" si="129"/>
        <v>1.5177706675626887</v>
      </c>
      <c r="G184" s="177">
        <f t="shared" si="130"/>
        <v>3.0467387423276371E-2</v>
      </c>
      <c r="I184" s="11"/>
      <c r="J184" s="11"/>
      <c r="K184" s="11"/>
      <c r="L184" s="11"/>
      <c r="M184" s="11"/>
      <c r="N184" s="11"/>
    </row>
    <row r="185" spans="1:21">
      <c r="A185" t="str">
        <f t="shared" si="127"/>
        <v>23 Teaching and other educational professionals</v>
      </c>
      <c r="B185" s="11">
        <v>0.89400952067018624</v>
      </c>
      <c r="C185" s="11">
        <v>0.81146323820016131</v>
      </c>
      <c r="D185" s="11">
        <f t="shared" si="128"/>
        <v>-8.2546282470024934E-2</v>
      </c>
      <c r="E185" s="11">
        <v>0.35864327857051337</v>
      </c>
      <c r="F185" s="11">
        <f t="shared" si="129"/>
        <v>0.27609699610048843</v>
      </c>
      <c r="G185" s="177">
        <f>IF(B185&gt;0,(1+(E185/B185))^(1/($C$6-$B$6))-1,0)</f>
        <v>2.2741560906831548E-2</v>
      </c>
      <c r="I185" s="11"/>
      <c r="J185" s="11"/>
      <c r="K185" s="11"/>
      <c r="L185" s="11"/>
      <c r="M185" s="11"/>
      <c r="N185" s="11"/>
    </row>
    <row r="186" spans="1:21">
      <c r="A186" t="str">
        <f t="shared" si="127"/>
        <v>24 Business, media and public service professionals</v>
      </c>
      <c r="B186" s="11">
        <v>4.223624013509955</v>
      </c>
      <c r="C186" s="11">
        <v>4.8838888162614378</v>
      </c>
      <c r="D186" s="11">
        <f t="shared" si="128"/>
        <v>0.6602648027514828</v>
      </c>
      <c r="E186" s="11">
        <v>1.9381353029131472</v>
      </c>
      <c r="F186" s="11">
        <f t="shared" si="129"/>
        <v>2.5984001056646298</v>
      </c>
      <c r="G186" s="177">
        <f t="shared" ref="G186:G205" si="131">IF(B186&gt;0,(1+(E186/B186))^(1/($C$6-$B$6))-1,0)</f>
        <v>2.5497561476055086E-2</v>
      </c>
      <c r="I186" s="11"/>
      <c r="J186" s="11"/>
      <c r="K186" s="11"/>
      <c r="L186" s="11"/>
      <c r="M186" s="11"/>
      <c r="N186" s="11"/>
    </row>
    <row r="187" spans="1:21">
      <c r="A187" t="str">
        <f t="shared" si="127"/>
        <v>31 Science, engineering and technology associate professionals</v>
      </c>
      <c r="B187" s="11">
        <v>1.6765339298795463</v>
      </c>
      <c r="C187" s="11">
        <v>1.2478088203153364</v>
      </c>
      <c r="D187" s="11">
        <f t="shared" si="128"/>
        <v>-0.42872510956420995</v>
      </c>
      <c r="E187" s="11">
        <v>0.47412904048591015</v>
      </c>
      <c r="F187" s="11">
        <f t="shared" si="129"/>
        <v>4.5403930921700197E-2</v>
      </c>
      <c r="G187" s="177">
        <f t="shared" si="131"/>
        <v>1.6741773888524047E-2</v>
      </c>
      <c r="I187" s="11"/>
      <c r="J187" s="11"/>
      <c r="K187" s="11"/>
      <c r="L187" s="11"/>
      <c r="M187" s="11"/>
      <c r="N187" s="11"/>
    </row>
    <row r="188" spans="1:21">
      <c r="A188" t="str">
        <f t="shared" si="127"/>
        <v>32 Health and social care associate professionals</v>
      </c>
      <c r="B188" s="11">
        <v>1.9732219188287832</v>
      </c>
      <c r="C188" s="11">
        <v>3.7010743102005836</v>
      </c>
      <c r="D188" s="11">
        <f t="shared" si="128"/>
        <v>1.7278523913718005</v>
      </c>
      <c r="E188" s="11">
        <v>1.9232227755700901</v>
      </c>
      <c r="F188" s="11">
        <f t="shared" si="129"/>
        <v>3.6510751669418906</v>
      </c>
      <c r="G188" s="177">
        <f t="shared" si="131"/>
        <v>4.6404276027925517E-2</v>
      </c>
      <c r="I188" s="11"/>
      <c r="J188" s="11"/>
      <c r="K188" s="11"/>
      <c r="L188" s="11"/>
      <c r="M188" s="11"/>
      <c r="N188" s="11"/>
    </row>
    <row r="189" spans="1:21">
      <c r="A189" t="str">
        <f t="shared" si="127"/>
        <v>33 Protective service occupations</v>
      </c>
      <c r="B189" s="11">
        <v>0.88226416705534028</v>
      </c>
      <c r="C189" s="11">
        <v>0.70580031290285949</v>
      </c>
      <c r="D189" s="11">
        <f t="shared" si="128"/>
        <v>-0.17646385415248078</v>
      </c>
      <c r="E189" s="11">
        <v>0.19060101214731184</v>
      </c>
      <c r="F189" s="11">
        <f t="shared" si="129"/>
        <v>1.4137157994831062E-2</v>
      </c>
      <c r="G189" s="177">
        <f t="shared" si="131"/>
        <v>1.3125159625522853E-2</v>
      </c>
      <c r="I189" s="11"/>
      <c r="J189" s="11"/>
      <c r="K189" s="11"/>
      <c r="L189" s="11"/>
      <c r="M189" s="11"/>
      <c r="N189" s="11"/>
    </row>
    <row r="190" spans="1:21">
      <c r="A190" t="str">
        <f t="shared" si="127"/>
        <v>34 Culture, media and sports occupations</v>
      </c>
      <c r="B190" s="11">
        <v>1.3412787689100634</v>
      </c>
      <c r="C190" s="11">
        <v>1.2749236706254128</v>
      </c>
      <c r="D190" s="11">
        <f t="shared" si="128"/>
        <v>-6.6355098284650582E-2</v>
      </c>
      <c r="E190" s="11">
        <v>0.47639873224359763</v>
      </c>
      <c r="F190" s="11">
        <f t="shared" ref="F190:F191" si="132">SUM(D190:E190)</f>
        <v>0.41004363395894705</v>
      </c>
      <c r="G190" s="177">
        <f t="shared" si="131"/>
        <v>2.0469084409802774E-2</v>
      </c>
      <c r="I190" s="11"/>
      <c r="J190" s="11"/>
      <c r="K190" s="11"/>
      <c r="L190" s="11"/>
      <c r="M190" s="11"/>
      <c r="N190" s="11"/>
    </row>
    <row r="191" spans="1:21">
      <c r="A191" t="str">
        <f t="shared" si="127"/>
        <v>35 Business and public service associate professionals</v>
      </c>
      <c r="B191" s="11">
        <v>5.6383060969666561</v>
      </c>
      <c r="C191" s="11">
        <v>5.4622608952930731</v>
      </c>
      <c r="D191" s="11">
        <f t="shared" si="128"/>
        <v>-0.17604520167358295</v>
      </c>
      <c r="E191" s="11">
        <v>2.2960481171974392</v>
      </c>
      <c r="F191" s="11">
        <f t="shared" si="132"/>
        <v>2.1200029155238562</v>
      </c>
      <c r="G191" s="177">
        <f t="shared" si="131"/>
        <v>2.3035872373774691E-2</v>
      </c>
      <c r="I191" s="11"/>
      <c r="J191" s="11"/>
      <c r="K191" s="11"/>
      <c r="L191" s="11"/>
      <c r="M191" s="11"/>
      <c r="N191" s="11"/>
    </row>
    <row r="192" spans="1:21">
      <c r="A192" t="str">
        <f t="shared" si="127"/>
        <v>41 Administrative occupations</v>
      </c>
      <c r="B192" s="11">
        <v>9.8895340020557221</v>
      </c>
      <c r="C192" s="11">
        <v>9.2729182447320646</v>
      </c>
      <c r="D192" s="11">
        <f t="shared" si="128"/>
        <v>-0.61661575732365748</v>
      </c>
      <c r="E192" s="11">
        <v>4.5405000874965644</v>
      </c>
      <c r="F192" s="11">
        <f t="shared" ref="F192:F195" si="133">SUM(D192:E192)</f>
        <v>3.9238843301729069</v>
      </c>
      <c r="G192" s="177">
        <f t="shared" si="131"/>
        <v>2.5508903484738665E-2</v>
      </c>
      <c r="I192" s="11"/>
      <c r="J192" s="11"/>
      <c r="K192" s="11"/>
      <c r="L192" s="11"/>
      <c r="M192" s="11"/>
      <c r="N192" s="11"/>
    </row>
    <row r="193" spans="1:14">
      <c r="A193" t="str">
        <f t="shared" si="127"/>
        <v>42 Secretarial and related occupations</v>
      </c>
      <c r="B193" s="11">
        <v>1.7787249574536648</v>
      </c>
      <c r="C193" s="11">
        <v>0.52730052591676513</v>
      </c>
      <c r="D193" s="11">
        <f t="shared" si="128"/>
        <v>-1.2514244315368996</v>
      </c>
      <c r="E193" s="11">
        <v>0.64024197932709992</v>
      </c>
      <c r="F193" s="11">
        <f t="shared" si="133"/>
        <v>-0.61118245220979972</v>
      </c>
      <c r="G193" s="177">
        <f t="shared" si="131"/>
        <v>2.0707742066057078E-2</v>
      </c>
      <c r="I193" s="11"/>
      <c r="J193" s="11"/>
      <c r="K193" s="11"/>
      <c r="L193" s="11"/>
      <c r="M193" s="11"/>
      <c r="N193" s="11"/>
    </row>
    <row r="194" spans="1:14">
      <c r="A194" t="str">
        <f t="shared" si="127"/>
        <v>51 Skilled agricultural and related trades</v>
      </c>
      <c r="B194" s="11">
        <v>0.42892089512295456</v>
      </c>
      <c r="C194" s="11">
        <v>0.48508317450502386</v>
      </c>
      <c r="D194" s="11">
        <f t="shared" si="128"/>
        <v>5.6162279382069302E-2</v>
      </c>
      <c r="E194" s="11">
        <v>0.23537274147863266</v>
      </c>
      <c r="F194" s="11">
        <f t="shared" si="133"/>
        <v>0.29153502086070193</v>
      </c>
      <c r="G194" s="177">
        <f t="shared" si="131"/>
        <v>2.9592868860830679E-2</v>
      </c>
      <c r="I194" s="11"/>
      <c r="J194" s="11"/>
      <c r="K194" s="11"/>
      <c r="L194" s="11"/>
      <c r="M194" s="11"/>
      <c r="N194" s="11"/>
    </row>
    <row r="195" spans="1:14">
      <c r="A195" t="str">
        <f t="shared" si="127"/>
        <v>52 Skilled metal, electrical and electronic trades</v>
      </c>
      <c r="B195" s="11">
        <v>9.8300659100997692</v>
      </c>
      <c r="C195" s="11">
        <v>9.471497820139442</v>
      </c>
      <c r="D195" s="11">
        <f t="shared" si="128"/>
        <v>-0.35856808996032719</v>
      </c>
      <c r="E195" s="11">
        <v>3.3996014634412308</v>
      </c>
      <c r="F195" s="11">
        <f t="shared" si="133"/>
        <v>3.0410333734809036</v>
      </c>
      <c r="G195" s="177">
        <f t="shared" si="131"/>
        <v>1.9998421544624279E-2</v>
      </c>
      <c r="I195" s="64"/>
      <c r="J195" s="58"/>
    </row>
    <row r="196" spans="1:14">
      <c r="A196" t="str">
        <f t="shared" si="127"/>
        <v>53 Skilled construction and building trades</v>
      </c>
      <c r="B196" s="11">
        <v>5.6734510206812061</v>
      </c>
      <c r="C196" s="11">
        <v>4.9652544046416445</v>
      </c>
      <c r="D196" s="11">
        <f t="shared" si="128"/>
        <v>-0.70819661603956163</v>
      </c>
      <c r="E196" s="11">
        <v>2.0687667621130728</v>
      </c>
      <c r="F196" s="11">
        <f t="shared" ref="F196" si="134">SUM(D196:E196)</f>
        <v>1.3605701460735111</v>
      </c>
      <c r="G196" s="177">
        <f t="shared" si="131"/>
        <v>2.0942316208561129E-2</v>
      </c>
    </row>
    <row r="197" spans="1:14">
      <c r="A197" t="str">
        <f t="shared" si="127"/>
        <v>54 Textiles, printing and other skilled trades</v>
      </c>
      <c r="B197" s="11">
        <v>2.0041714890091522</v>
      </c>
      <c r="C197" s="11">
        <v>2.3964957914005085</v>
      </c>
      <c r="D197" s="11">
        <f t="shared" si="128"/>
        <v>0.39232430239135629</v>
      </c>
      <c r="E197" s="11">
        <v>0.92054026540790956</v>
      </c>
      <c r="F197" s="11">
        <f t="shared" ref="F197" si="135">SUM(D197:E197)</f>
        <v>1.3128645677992659</v>
      </c>
      <c r="G197" s="177">
        <f t="shared" si="131"/>
        <v>2.5517823307671161E-2</v>
      </c>
    </row>
    <row r="198" spans="1:14">
      <c r="A198" t="str">
        <f t="shared" si="127"/>
        <v>61 Caring personal service occupations</v>
      </c>
      <c r="B198" s="11">
        <v>14.43868890488992</v>
      </c>
      <c r="C198" s="11">
        <v>16.559878886886544</v>
      </c>
      <c r="D198" s="11">
        <f>C198-B198</f>
        <v>2.1211899819966238</v>
      </c>
      <c r="E198" s="11">
        <v>8.7924972970959185</v>
      </c>
      <c r="F198" s="11">
        <f>SUM(D198:E198)</f>
        <v>10.913687279092542</v>
      </c>
      <c r="G198" s="177">
        <f t="shared" si="131"/>
        <v>3.2213595854613253E-2</v>
      </c>
    </row>
    <row r="199" spans="1:14">
      <c r="A199" t="str">
        <f t="shared" si="127"/>
        <v>62 Leisure, travel and related personal service occupations</v>
      </c>
      <c r="B199" s="11">
        <v>2.1936744287136394</v>
      </c>
      <c r="C199" s="11">
        <v>1.8407814733969885</v>
      </c>
      <c r="D199" s="11">
        <f t="shared" ref="D199:D205" si="136">C199-B199</f>
        <v>-0.35289295531665088</v>
      </c>
      <c r="E199" s="11">
        <v>0.88475572644498446</v>
      </c>
      <c r="F199" s="11">
        <f t="shared" ref="F199:F200" si="137">SUM(D199:E199)</f>
        <v>0.53186277112833358</v>
      </c>
      <c r="G199" s="177">
        <f t="shared" si="131"/>
        <v>2.2846528329383942E-2</v>
      </c>
    </row>
    <row r="200" spans="1:14">
      <c r="A200" t="str">
        <f t="shared" si="127"/>
        <v>63 Community and civil enforcement occupations</v>
      </c>
      <c r="B200" s="11">
        <v>7.0604552428313538E-2</v>
      </c>
      <c r="C200" s="11">
        <v>5.6495524085763582E-2</v>
      </c>
      <c r="D200" s="11">
        <f t="shared" si="136"/>
        <v>-1.4109028342549956E-2</v>
      </c>
      <c r="E200" s="11">
        <v>1.969987230247456E-2</v>
      </c>
      <c r="F200" s="11">
        <f t="shared" si="137"/>
        <v>5.5908439599246032E-3</v>
      </c>
      <c r="G200" s="177">
        <f t="shared" si="131"/>
        <v>1.6541441778442412E-2</v>
      </c>
    </row>
    <row r="201" spans="1:14">
      <c r="A201" t="str">
        <f t="shared" si="127"/>
        <v>71 Sales occupations</v>
      </c>
      <c r="B201" s="11">
        <v>7.7582300601532053</v>
      </c>
      <c r="C201" s="11">
        <v>8.0438953356319178</v>
      </c>
      <c r="D201" s="11">
        <f t="shared" si="136"/>
        <v>0.28566527547871257</v>
      </c>
      <c r="E201" s="11">
        <v>3.5149738057665374</v>
      </c>
      <c r="F201" s="11">
        <f t="shared" ref="F201:F202" si="138">SUM(D201:E201)</f>
        <v>3.80063908124525</v>
      </c>
      <c r="G201" s="177">
        <f t="shared" si="131"/>
        <v>2.5224510403924594E-2</v>
      </c>
    </row>
    <row r="202" spans="1:14">
      <c r="A202" t="str">
        <f t="shared" si="127"/>
        <v>72 Customer service occupations</v>
      </c>
      <c r="B202" s="11">
        <v>2.2125078173552954</v>
      </c>
      <c r="C202" s="11">
        <v>2.7564550002200106</v>
      </c>
      <c r="D202" s="11">
        <f t="shared" si="136"/>
        <v>0.54394718286471511</v>
      </c>
      <c r="E202" s="11">
        <v>1.0639033438918477</v>
      </c>
      <c r="F202" s="11">
        <f t="shared" si="138"/>
        <v>1.6078505267565628</v>
      </c>
      <c r="G202" s="177">
        <f t="shared" si="131"/>
        <v>2.6520370882296529E-2</v>
      </c>
    </row>
    <row r="203" spans="1:14">
      <c r="A203" t="str">
        <f t="shared" si="127"/>
        <v>81 Process, plant and machine operatives</v>
      </c>
      <c r="B203" s="11">
        <v>4.3286852143399912</v>
      </c>
      <c r="C203" s="11">
        <v>5.6850084765648949</v>
      </c>
      <c r="D203" s="11">
        <f t="shared" si="136"/>
        <v>1.3563232622249037</v>
      </c>
      <c r="E203" s="11">
        <v>1.9699326752325603</v>
      </c>
      <c r="F203" s="11">
        <f t="shared" ref="F203:F204" si="139">SUM(D203:E203)</f>
        <v>3.3262559374574643</v>
      </c>
      <c r="G203" s="177">
        <f t="shared" si="131"/>
        <v>2.5319657654104377E-2</v>
      </c>
    </row>
    <row r="204" spans="1:14">
      <c r="A204" t="str">
        <f t="shared" si="127"/>
        <v>82 Transport and mobile machine drivers and operatives</v>
      </c>
      <c r="B204" s="11">
        <v>4.060518801781039</v>
      </c>
      <c r="C204" s="11">
        <v>5.6997063198424698</v>
      </c>
      <c r="D204" s="11">
        <f t="shared" si="136"/>
        <v>1.6391875180614308</v>
      </c>
      <c r="E204" s="11">
        <v>2.568255410266473</v>
      </c>
      <c r="F204" s="11">
        <f t="shared" si="139"/>
        <v>4.2074429283279038</v>
      </c>
      <c r="G204" s="177">
        <f t="shared" si="131"/>
        <v>3.3213598331597982E-2</v>
      </c>
    </row>
    <row r="205" spans="1:14">
      <c r="A205" t="str">
        <f t="shared" si="127"/>
        <v>91 Elementary trades and related occupations</v>
      </c>
      <c r="B205" s="11">
        <v>1.1374593936486852</v>
      </c>
      <c r="C205" s="11">
        <v>2.8843962065397593</v>
      </c>
      <c r="D205" s="11">
        <f t="shared" si="136"/>
        <v>1.7469368128910741</v>
      </c>
      <c r="E205" s="11">
        <v>1.0204838624944956</v>
      </c>
      <c r="F205" s="11">
        <f t="shared" ref="F205" si="140">SUM(D205:E205)</f>
        <v>2.7674206753855697</v>
      </c>
      <c r="G205" s="177">
        <f t="shared" si="131"/>
        <v>4.3614908580786205E-2</v>
      </c>
    </row>
    <row r="206" spans="1:14">
      <c r="A206" t="str">
        <f t="shared" si="127"/>
        <v>92 Elementary administration and service occupations</v>
      </c>
      <c r="B206" s="11">
        <v>6.1912334318314324</v>
      </c>
      <c r="C206" s="11">
        <v>4.9460314313631795</v>
      </c>
      <c r="D206" s="11">
        <f t="shared" ref="D206" si="141">C206-B206</f>
        <v>-1.2452020004682529</v>
      </c>
      <c r="E206" s="11">
        <v>2.5832101706434947</v>
      </c>
      <c r="F206" s="11">
        <f t="shared" ref="F206" si="142">SUM(D206:E206)</f>
        <v>1.3380081701752418</v>
      </c>
      <c r="G206" s="177">
        <f t="shared" ref="G206:G207" si="143">IF(B206&gt;0,(1+(E206/B206))^(1/($C$6-$B$6))-1,0)</f>
        <v>2.3519592677749834E-2</v>
      </c>
    </row>
    <row r="207" spans="1:14">
      <c r="A207" t="str">
        <f t="shared" si="127"/>
        <v>All occupations</v>
      </c>
      <c r="B207" s="11">
        <f>SUM(B181:B206)</f>
        <v>104.45390013907631</v>
      </c>
      <c r="C207" s="11">
        <f t="shared" ref="C207:F207" si="144">SUM(C181:C206)</f>
        <v>110.31070181595217</v>
      </c>
      <c r="D207" s="11">
        <f t="shared" si="144"/>
        <v>5.8568016768758842</v>
      </c>
      <c r="E207" s="11">
        <f t="shared" si="144"/>
        <v>48.736537431972828</v>
      </c>
      <c r="F207" s="11">
        <f t="shared" si="144"/>
        <v>54.593339108848717</v>
      </c>
      <c r="G207" s="177">
        <f t="shared" si="143"/>
        <v>2.5857724808655558E-2</v>
      </c>
    </row>
    <row r="209" spans="1:7" ht="38.25">
      <c r="A209" s="178" t="str">
        <f>CONCATENATE(name!F10," (Constrained)")</f>
        <v>RQF2 GCSE(A-C) &amp; equivalent (Constrained)</v>
      </c>
      <c r="B209" s="70">
        <f t="shared" ref="B209:G209" si="145">B122</f>
        <v>2020</v>
      </c>
      <c r="C209" s="70">
        <f t="shared" si="145"/>
        <v>2035</v>
      </c>
      <c r="D209" s="70" t="str">
        <f t="shared" si="145"/>
        <v>Net Change</v>
      </c>
      <c r="E209" s="70" t="str">
        <f t="shared" si="145"/>
        <v>Replacement Demand level</v>
      </c>
      <c r="F209" s="70" t="str">
        <f t="shared" si="145"/>
        <v>Total Requirement</v>
      </c>
      <c r="G209" s="70" t="str">
        <f t="shared" si="145"/>
        <v>Replacement Demand rate</v>
      </c>
    </row>
    <row r="210" spans="1:7">
      <c r="A210" t="str">
        <f t="shared" ref="A210:A236" si="146">A123</f>
        <v>11 Corporate managers and directors</v>
      </c>
      <c r="B210" s="11">
        <v>5.086022668189452</v>
      </c>
      <c r="C210" s="11">
        <v>3.8961023255819129</v>
      </c>
      <c r="D210" s="11">
        <f>C210-B210</f>
        <v>-1.1899203426075391</v>
      </c>
      <c r="E210" s="11">
        <v>2.1026754299904944</v>
      </c>
      <c r="F210" s="11">
        <f>SUM(D210:E210)</f>
        <v>0.9127550873829553</v>
      </c>
      <c r="G210" s="177">
        <f>IF(B210&gt;0,(1+(E210/B210))^(1/($C$6-$B$6))-1,0)</f>
        <v>2.3335711987092722E-2</v>
      </c>
    </row>
    <row r="211" spans="1:7">
      <c r="A211" t="str">
        <f t="shared" si="146"/>
        <v>12 Other managers and proprietors</v>
      </c>
      <c r="B211" s="11">
        <v>2.5276817401733664</v>
      </c>
      <c r="C211" s="11">
        <v>2.4985238007386519</v>
      </c>
      <c r="D211" s="11">
        <f t="shared" ref="D211:D226" si="147">C211-B211</f>
        <v>-2.9157939434714564E-2</v>
      </c>
      <c r="E211" s="11">
        <v>1.4999047787227111</v>
      </c>
      <c r="F211" s="11">
        <f t="shared" ref="F211:F218" si="148">SUM(D211:E211)</f>
        <v>1.4707468392879965</v>
      </c>
      <c r="G211" s="177">
        <f t="shared" ref="G211:G213" si="149">IF(B211&gt;0,(1+(E211/B211))^(1/($C$6-$B$6))-1,0)</f>
        <v>3.1544970288309271E-2</v>
      </c>
    </row>
    <row r="212" spans="1:7">
      <c r="A212" t="str">
        <f t="shared" si="146"/>
        <v>21 Science, research, engineering and technology professionals</v>
      </c>
      <c r="B212" s="11">
        <v>2.8180475615815084</v>
      </c>
      <c r="C212" s="11">
        <v>3.0553176144291125</v>
      </c>
      <c r="D212" s="11">
        <f t="shared" si="147"/>
        <v>0.23727005284760416</v>
      </c>
      <c r="E212" s="11">
        <v>1.1087166102005974</v>
      </c>
      <c r="F212" s="11">
        <f t="shared" si="148"/>
        <v>1.3459866630482016</v>
      </c>
      <c r="G212" s="177">
        <f t="shared" si="149"/>
        <v>2.2364513796203633E-2</v>
      </c>
    </row>
    <row r="213" spans="1:7">
      <c r="A213" t="str">
        <f t="shared" si="146"/>
        <v>22 Health professionals</v>
      </c>
      <c r="B213" s="11">
        <v>2.0151374752681206</v>
      </c>
      <c r="C213" s="11">
        <v>1.6427525060377486</v>
      </c>
      <c r="D213" s="11">
        <f t="shared" si="147"/>
        <v>-0.37238496923037201</v>
      </c>
      <c r="E213" s="11">
        <v>1.0060912578450756</v>
      </c>
      <c r="F213" s="11">
        <f t="shared" si="148"/>
        <v>0.63370628861470357</v>
      </c>
      <c r="G213" s="177">
        <f t="shared" si="149"/>
        <v>2.7366172325090199E-2</v>
      </c>
    </row>
    <row r="214" spans="1:7">
      <c r="A214" t="str">
        <f t="shared" si="146"/>
        <v>23 Teaching and other educational professionals</v>
      </c>
      <c r="B214" s="11">
        <v>0.69805215083667727</v>
      </c>
      <c r="C214" s="11">
        <v>0.47229824367642792</v>
      </c>
      <c r="D214" s="11">
        <f t="shared" si="147"/>
        <v>-0.22575390716024935</v>
      </c>
      <c r="E214" s="11">
        <v>0.30339685185447846</v>
      </c>
      <c r="F214" s="11">
        <f t="shared" si="148"/>
        <v>7.764294469422911E-2</v>
      </c>
      <c r="G214" s="177">
        <f>IF(B214&gt;0,(1+(E214/B214))^(1/($C$6-$B$6))-1,0)</f>
        <v>2.4352420326710034E-2</v>
      </c>
    </row>
    <row r="215" spans="1:7">
      <c r="A215" t="str">
        <f t="shared" si="146"/>
        <v>24 Business, media and public service professionals</v>
      </c>
      <c r="B215" s="11">
        <v>2.6606576837141809</v>
      </c>
      <c r="C215" s="11">
        <v>2.2500432609159566</v>
      </c>
      <c r="D215" s="11">
        <f t="shared" si="147"/>
        <v>-0.41061442279822424</v>
      </c>
      <c r="E215" s="11">
        <v>1.0894103518556166</v>
      </c>
      <c r="F215" s="11">
        <f t="shared" si="148"/>
        <v>0.67879592905739239</v>
      </c>
      <c r="G215" s="177">
        <f t="shared" ref="G215:G234" si="150">IF(B215&gt;0,(1+(E215/B215))^(1/($C$6-$B$6))-1,0)</f>
        <v>2.3143798644350344E-2</v>
      </c>
    </row>
    <row r="216" spans="1:7">
      <c r="A216" t="str">
        <f t="shared" si="146"/>
        <v>31 Science, engineering and technology associate professionals</v>
      </c>
      <c r="B216" s="11">
        <v>1.3631230461952171</v>
      </c>
      <c r="C216" s="11">
        <v>1.2449711446457814</v>
      </c>
      <c r="D216" s="11">
        <f t="shared" si="147"/>
        <v>-0.11815190154943567</v>
      </c>
      <c r="E216" s="11">
        <v>0.49232322600211781</v>
      </c>
      <c r="F216" s="11">
        <f t="shared" si="148"/>
        <v>0.37417132445268214</v>
      </c>
      <c r="G216" s="177">
        <f t="shared" si="150"/>
        <v>2.0769193834082156E-2</v>
      </c>
    </row>
    <row r="217" spans="1:7">
      <c r="A217" t="str">
        <f t="shared" si="146"/>
        <v>32 Health and social care associate professionals</v>
      </c>
      <c r="B217" s="11">
        <v>1.394629924351392</v>
      </c>
      <c r="C217" s="11">
        <v>1.9425773289129584</v>
      </c>
      <c r="D217" s="11">
        <f t="shared" si="147"/>
        <v>0.54794740456156643</v>
      </c>
      <c r="E217" s="11">
        <v>1.1497815306246291</v>
      </c>
      <c r="F217" s="11">
        <f t="shared" si="148"/>
        <v>1.6977289351861955</v>
      </c>
      <c r="G217" s="177">
        <f t="shared" si="150"/>
        <v>4.0898918983041765E-2</v>
      </c>
    </row>
    <row r="218" spans="1:7">
      <c r="A218" t="str">
        <f t="shared" si="146"/>
        <v>33 Protective service occupations</v>
      </c>
      <c r="B218" s="11">
        <v>1.0800754169133155</v>
      </c>
      <c r="C218" s="11">
        <v>0.75792641204205791</v>
      </c>
      <c r="D218" s="11">
        <f t="shared" si="147"/>
        <v>-0.32214900487125764</v>
      </c>
      <c r="E218" s="11">
        <v>0.26986703903965986</v>
      </c>
      <c r="F218" s="11">
        <f t="shared" si="148"/>
        <v>-5.2281965831597776E-2</v>
      </c>
      <c r="G218" s="177">
        <f t="shared" si="150"/>
        <v>1.497982942631082E-2</v>
      </c>
    </row>
    <row r="219" spans="1:7">
      <c r="A219" t="str">
        <f t="shared" si="146"/>
        <v>34 Culture, media and sports occupations</v>
      </c>
      <c r="B219" s="11">
        <v>0.57269757331096904</v>
      </c>
      <c r="C219" s="11">
        <v>0.31415562195635427</v>
      </c>
      <c r="D219" s="11">
        <f t="shared" si="147"/>
        <v>-0.25854195135461477</v>
      </c>
      <c r="E219" s="11">
        <v>0.15925074723303353</v>
      </c>
      <c r="F219" s="11">
        <f t="shared" ref="F219:F220" si="151">SUM(D219:E219)</f>
        <v>-9.9291204121581239E-2</v>
      </c>
      <c r="G219" s="177">
        <f t="shared" si="150"/>
        <v>1.6491313550753839E-2</v>
      </c>
    </row>
    <row r="220" spans="1:7">
      <c r="A220" t="str">
        <f t="shared" si="146"/>
        <v>35 Business and public service associate professionals</v>
      </c>
      <c r="B220" s="11">
        <v>4.4396430658008654</v>
      </c>
      <c r="C220" s="11">
        <v>3.7353419357725377</v>
      </c>
      <c r="D220" s="11">
        <f t="shared" si="147"/>
        <v>-0.70430113002832773</v>
      </c>
      <c r="E220" s="11">
        <v>1.736894434654692</v>
      </c>
      <c r="F220" s="11">
        <f t="shared" si="151"/>
        <v>1.0325933046263642</v>
      </c>
      <c r="G220" s="177">
        <f t="shared" si="150"/>
        <v>2.225631431349484E-2</v>
      </c>
    </row>
    <row r="221" spans="1:7">
      <c r="A221" t="str">
        <f t="shared" si="146"/>
        <v>41 Administrative occupations</v>
      </c>
      <c r="B221" s="11">
        <v>11.379675569731608</v>
      </c>
      <c r="C221" s="11">
        <v>8.9098255276334495</v>
      </c>
      <c r="D221" s="11">
        <f t="shared" si="147"/>
        <v>-2.4698500420981588</v>
      </c>
      <c r="E221" s="11">
        <v>4.912968490426822</v>
      </c>
      <c r="F221" s="11">
        <f t="shared" ref="F221:F224" si="152">SUM(D221:E221)</f>
        <v>2.4431184483286632</v>
      </c>
      <c r="G221" s="177">
        <f t="shared" si="150"/>
        <v>2.4214168274794279E-2</v>
      </c>
    </row>
    <row r="222" spans="1:7">
      <c r="A222" t="str">
        <f t="shared" si="146"/>
        <v>42 Secretarial and related occupations</v>
      </c>
      <c r="B222" s="11">
        <v>2.0317734352043391</v>
      </c>
      <c r="C222" s="11">
        <v>0.36955281708976262</v>
      </c>
      <c r="D222" s="11">
        <f t="shared" si="147"/>
        <v>-1.6622206181145764</v>
      </c>
      <c r="E222" s="11">
        <v>0.54848588386518704</v>
      </c>
      <c r="F222" s="11">
        <f t="shared" si="152"/>
        <v>-1.1137347342493893</v>
      </c>
      <c r="G222" s="177">
        <f t="shared" si="150"/>
        <v>1.6059650618506227E-2</v>
      </c>
    </row>
    <row r="223" spans="1:7">
      <c r="A223" t="str">
        <f t="shared" si="146"/>
        <v>51 Skilled agricultural and related trades</v>
      </c>
      <c r="B223" s="11">
        <v>0.76508482743752015</v>
      </c>
      <c r="C223" s="11">
        <v>0.72362573499846994</v>
      </c>
      <c r="D223" s="11">
        <f t="shared" si="147"/>
        <v>-4.1459092439050216E-2</v>
      </c>
      <c r="E223" s="11">
        <v>0.42491520909017838</v>
      </c>
      <c r="F223" s="11">
        <f t="shared" si="152"/>
        <v>0.38345611665112816</v>
      </c>
      <c r="G223" s="177">
        <f t="shared" si="150"/>
        <v>2.9886010711904998E-2</v>
      </c>
    </row>
    <row r="224" spans="1:7">
      <c r="A224" t="str">
        <f t="shared" si="146"/>
        <v>52 Skilled metal, electrical and electronic trades</v>
      </c>
      <c r="B224" s="11">
        <v>5.6803137930496961</v>
      </c>
      <c r="C224" s="11">
        <v>4.912081672506333</v>
      </c>
      <c r="D224" s="11">
        <f t="shared" si="147"/>
        <v>-0.7682321205433631</v>
      </c>
      <c r="E224" s="11">
        <v>2.0698358394472107</v>
      </c>
      <c r="F224" s="11">
        <f t="shared" si="152"/>
        <v>1.3016037189038476</v>
      </c>
      <c r="G224" s="177">
        <f t="shared" si="150"/>
        <v>2.0929729465764435E-2</v>
      </c>
    </row>
    <row r="225" spans="1:7">
      <c r="A225" t="str">
        <f t="shared" si="146"/>
        <v>53 Skilled construction and building trades</v>
      </c>
      <c r="B225" s="11">
        <v>5.5984203141260878</v>
      </c>
      <c r="C225" s="11">
        <v>5.7182742401770454</v>
      </c>
      <c r="D225" s="11">
        <f t="shared" si="147"/>
        <v>0.11985392605095768</v>
      </c>
      <c r="E225" s="11">
        <v>2.7455715251184549</v>
      </c>
      <c r="F225" s="11">
        <f t="shared" ref="F225" si="153">SUM(D225:E225)</f>
        <v>2.8654254511694126</v>
      </c>
      <c r="G225" s="177">
        <f t="shared" si="150"/>
        <v>2.6960858645535657E-2</v>
      </c>
    </row>
    <row r="226" spans="1:7">
      <c r="A226" t="str">
        <f t="shared" si="146"/>
        <v>54 Textiles, printing and other skilled trades</v>
      </c>
      <c r="B226" s="11">
        <v>2.0514040727666725</v>
      </c>
      <c r="C226" s="11">
        <v>1.9222140565401631</v>
      </c>
      <c r="D226" s="11">
        <f t="shared" si="147"/>
        <v>-0.12919001622650939</v>
      </c>
      <c r="E226" s="11">
        <v>0.83028304009313447</v>
      </c>
      <c r="F226" s="11">
        <f t="shared" ref="F226" si="154">SUM(D226:E226)</f>
        <v>0.70109302386662509</v>
      </c>
      <c r="G226" s="177">
        <f t="shared" si="150"/>
        <v>2.2915377456347086E-2</v>
      </c>
    </row>
    <row r="227" spans="1:7">
      <c r="A227" t="str">
        <f t="shared" si="146"/>
        <v>61 Caring personal service occupations</v>
      </c>
      <c r="B227" s="11">
        <v>9.9779947209940332</v>
      </c>
      <c r="C227" s="11">
        <v>8.2363985955210968</v>
      </c>
      <c r="D227" s="11">
        <f>C227-B227</f>
        <v>-1.7415961254729364</v>
      </c>
      <c r="E227" s="11">
        <v>4.9502908172507514</v>
      </c>
      <c r="F227" s="11">
        <f>SUM(D227:E227)</f>
        <v>3.208694691777815</v>
      </c>
      <c r="G227" s="177">
        <f t="shared" si="150"/>
        <v>2.7222312528809356E-2</v>
      </c>
    </row>
    <row r="228" spans="1:7">
      <c r="A228" t="str">
        <f t="shared" si="146"/>
        <v>62 Leisure, travel and related personal service occupations</v>
      </c>
      <c r="B228" s="11">
        <v>2.3295230642823586</v>
      </c>
      <c r="C228" s="11">
        <v>1.756090402243478</v>
      </c>
      <c r="D228" s="11">
        <f t="shared" ref="D228:D234" si="155">C228-B228</f>
        <v>-0.57343266203888055</v>
      </c>
      <c r="E228" s="11">
        <v>1.0050288316101279</v>
      </c>
      <c r="F228" s="11">
        <f t="shared" ref="F228:F229" si="156">SUM(D228:E228)</f>
        <v>0.43159616957124736</v>
      </c>
      <c r="G228" s="177">
        <f t="shared" si="150"/>
        <v>2.4199826050638418E-2</v>
      </c>
    </row>
    <row r="229" spans="1:7">
      <c r="A229" t="str">
        <f t="shared" si="146"/>
        <v>63 Community and civil enforcement occupations</v>
      </c>
      <c r="B229" s="11">
        <v>0.11217573056761668</v>
      </c>
      <c r="C229" s="11">
        <v>9.1911623463619543E-2</v>
      </c>
      <c r="D229" s="11">
        <f t="shared" si="155"/>
        <v>-2.0264107103997134E-2</v>
      </c>
      <c r="E229" s="11">
        <v>4.1520329684173789E-2</v>
      </c>
      <c r="F229" s="11">
        <f t="shared" si="156"/>
        <v>2.1256222580176655E-2</v>
      </c>
      <c r="G229" s="177">
        <f t="shared" si="150"/>
        <v>2.1215948350209013E-2</v>
      </c>
    </row>
    <row r="230" spans="1:7">
      <c r="A230" t="str">
        <f t="shared" si="146"/>
        <v>71 Sales occupations</v>
      </c>
      <c r="B230" s="11">
        <v>7.4616688498586594</v>
      </c>
      <c r="C230" s="11">
        <v>6.2216050636152662</v>
      </c>
      <c r="D230" s="11">
        <f t="shared" si="155"/>
        <v>-1.2400637862433932</v>
      </c>
      <c r="E230" s="11">
        <v>3.3889686413744493</v>
      </c>
      <c r="F230" s="11">
        <f t="shared" ref="F230:F231" si="157">SUM(D230:E230)</f>
        <v>2.1489048551310561</v>
      </c>
      <c r="G230" s="177">
        <f t="shared" si="150"/>
        <v>2.5277166631296311E-2</v>
      </c>
    </row>
    <row r="231" spans="1:7">
      <c r="A231" t="str">
        <f t="shared" si="146"/>
        <v>72 Customer service occupations</v>
      </c>
      <c r="B231" s="11">
        <v>2.2078424961543099</v>
      </c>
      <c r="C231" s="11">
        <v>2.3467200561480261</v>
      </c>
      <c r="D231" s="11">
        <f t="shared" si="155"/>
        <v>0.1388775599937162</v>
      </c>
      <c r="E231" s="11">
        <v>1.1607459150232537</v>
      </c>
      <c r="F231" s="11">
        <f t="shared" si="157"/>
        <v>1.29962347501697</v>
      </c>
      <c r="G231" s="177">
        <f t="shared" si="150"/>
        <v>2.8565589073935804E-2</v>
      </c>
    </row>
    <row r="232" spans="1:7">
      <c r="A232" t="str">
        <f t="shared" si="146"/>
        <v>81 Process, plant and machine operatives</v>
      </c>
      <c r="B232" s="11">
        <v>5.4435191254591624</v>
      </c>
      <c r="C232" s="11">
        <v>5.9830134080268929</v>
      </c>
      <c r="D232" s="11">
        <f t="shared" si="155"/>
        <v>0.53949428256773047</v>
      </c>
      <c r="E232" s="11">
        <v>2.6192257480163064</v>
      </c>
      <c r="F232" s="11">
        <f t="shared" ref="F232:F233" si="158">SUM(D232:E232)</f>
        <v>3.1587200305840368</v>
      </c>
      <c r="G232" s="177">
        <f t="shared" si="150"/>
        <v>2.6534486984857386E-2</v>
      </c>
    </row>
    <row r="233" spans="1:7">
      <c r="A233" t="str">
        <f t="shared" si="146"/>
        <v>82 Transport and mobile machine drivers and operatives</v>
      </c>
      <c r="B233" s="11">
        <v>6.5424843653972822</v>
      </c>
      <c r="C233" s="11">
        <v>8.243689051192499</v>
      </c>
      <c r="D233" s="11">
        <f t="shared" si="155"/>
        <v>1.7012046857952168</v>
      </c>
      <c r="E233" s="11">
        <v>4.4828400000748392</v>
      </c>
      <c r="F233" s="11">
        <f t="shared" si="158"/>
        <v>6.184044685870056</v>
      </c>
      <c r="G233" s="177">
        <f t="shared" si="150"/>
        <v>3.5404175693712236E-2</v>
      </c>
    </row>
    <row r="234" spans="1:7">
      <c r="A234" t="str">
        <f t="shared" si="146"/>
        <v>91 Elementary trades and related occupations</v>
      </c>
      <c r="B234" s="11">
        <v>2.0590194278196883</v>
      </c>
      <c r="C234" s="11">
        <v>4.4182415888379172</v>
      </c>
      <c r="D234" s="11">
        <f t="shared" si="155"/>
        <v>2.3592221610182289</v>
      </c>
      <c r="E234" s="11">
        <v>1.6759981580794405</v>
      </c>
      <c r="F234" s="11">
        <f t="shared" ref="F234" si="159">SUM(D234:E234)</f>
        <v>4.0352203190976699</v>
      </c>
      <c r="G234" s="177">
        <f t="shared" si="150"/>
        <v>4.0500149876766534E-2</v>
      </c>
    </row>
    <row r="235" spans="1:7">
      <c r="A235" t="str">
        <f t="shared" si="146"/>
        <v>92 Elementary administration and service occupations</v>
      </c>
      <c r="B235" s="11">
        <v>10.801026085895028</v>
      </c>
      <c r="C235" s="11">
        <v>9.7307374286109134</v>
      </c>
      <c r="D235" s="11">
        <f t="shared" ref="D235" si="160">C235-B235</f>
        <v>-1.0702886572841148</v>
      </c>
      <c r="E235" s="11">
        <v>5.2595955435450481</v>
      </c>
      <c r="F235" s="11">
        <f t="shared" ref="F235" si="161">SUM(D235:E235)</f>
        <v>4.1893068862609333</v>
      </c>
      <c r="G235" s="177">
        <f t="shared" ref="G235:G236" si="162">IF(B235&gt;0,(1+(E235/B235))^(1/($C$6-$B$6))-1,0)</f>
        <v>2.6801487263806045E-2</v>
      </c>
    </row>
    <row r="236" spans="1:7">
      <c r="A236" t="str">
        <f t="shared" si="146"/>
        <v>All occupations</v>
      </c>
      <c r="B236" s="11">
        <f>SUM(B210:B235)</f>
        <v>99.097694185079135</v>
      </c>
      <c r="C236" s="11">
        <f t="shared" ref="C236:F236" si="163">SUM(C210:C235)</f>
        <v>91.393991461314428</v>
      </c>
      <c r="D236" s="11">
        <f t="shared" si="163"/>
        <v>-7.703702723764696</v>
      </c>
      <c r="E236" s="11">
        <f t="shared" si="163"/>
        <v>47.034586230722482</v>
      </c>
      <c r="F236" s="11">
        <f t="shared" si="163"/>
        <v>39.33088350695779</v>
      </c>
      <c r="G236" s="177">
        <f t="shared" si="162"/>
        <v>2.6231893106019921E-2</v>
      </c>
    </row>
    <row r="238" spans="1:7" ht="38.25">
      <c r="A238" s="178" t="str">
        <f>CONCATENATE(name!F11," (Constrained)")</f>
        <v>RQF1 GCSE(below grade C) &amp; equivalent (Constrained)</v>
      </c>
      <c r="B238" s="70">
        <f t="shared" ref="B238:G238" si="164">B151</f>
        <v>2020</v>
      </c>
      <c r="C238" s="70">
        <f t="shared" si="164"/>
        <v>2035</v>
      </c>
      <c r="D238" s="70" t="str">
        <f t="shared" si="164"/>
        <v>Net Change</v>
      </c>
      <c r="E238" s="70" t="str">
        <f t="shared" si="164"/>
        <v>Replacement Demand level</v>
      </c>
      <c r="F238" s="70" t="str">
        <f t="shared" si="164"/>
        <v>Total Requirement</v>
      </c>
      <c r="G238" s="70" t="str">
        <f t="shared" si="164"/>
        <v>Replacement Demand rate</v>
      </c>
    </row>
    <row r="239" spans="1:7">
      <c r="A239" t="str">
        <f t="shared" ref="A239:A265" si="165">A152</f>
        <v>11 Corporate managers and directors</v>
      </c>
      <c r="B239" s="11">
        <v>3.8267385849460345</v>
      </c>
      <c r="C239" s="11">
        <v>2.0777259126382361</v>
      </c>
      <c r="D239" s="11">
        <f>C239-B239</f>
        <v>-1.7490126723077983</v>
      </c>
      <c r="E239" s="11">
        <v>1.2238474971931859</v>
      </c>
      <c r="F239" s="11">
        <f>SUM(D239:E239)</f>
        <v>-0.52516517511461247</v>
      </c>
      <c r="G239" s="177">
        <f>IF(B239&gt;0,(1+(E239/B239))^(1/($C$6-$B$6))-1,0)</f>
        <v>1.8671600886562834E-2</v>
      </c>
    </row>
    <row r="240" spans="1:7">
      <c r="A240" t="str">
        <f t="shared" si="165"/>
        <v>12 Other managers and proprietors</v>
      </c>
      <c r="B240" s="11">
        <v>1.5970832855337915</v>
      </c>
      <c r="C240" s="11">
        <v>1.0066421930107869</v>
      </c>
      <c r="D240" s="11">
        <f t="shared" ref="D240:D255" si="166">C240-B240</f>
        <v>-0.59044109252300458</v>
      </c>
      <c r="E240" s="11">
        <v>0.63545812200606844</v>
      </c>
      <c r="F240" s="11">
        <f t="shared" ref="F240:F247" si="167">SUM(D240:E240)</f>
        <v>4.5017029483063853E-2</v>
      </c>
      <c r="G240" s="177">
        <f t="shared" ref="G240:G242" si="168">IF(B240&gt;0,(1+(E240/B240))^(1/($C$6-$B$6))-1,0)</f>
        <v>2.2581968798726759E-2</v>
      </c>
    </row>
    <row r="241" spans="1:7">
      <c r="A241" t="str">
        <f t="shared" si="165"/>
        <v>21 Science, research, engineering and technology professionals</v>
      </c>
      <c r="B241" s="11">
        <v>1.6516234571213404</v>
      </c>
      <c r="C241" s="11">
        <v>1.1827218188772295</v>
      </c>
      <c r="D241" s="11">
        <f t="shared" si="166"/>
        <v>-0.46890163824411091</v>
      </c>
      <c r="E241" s="11">
        <v>0.47512736082562962</v>
      </c>
      <c r="F241" s="11">
        <f t="shared" si="167"/>
        <v>6.2257225815187112E-3</v>
      </c>
      <c r="G241" s="177">
        <f t="shared" si="168"/>
        <v>1.6998637484186618E-2</v>
      </c>
    </row>
    <row r="242" spans="1:7">
      <c r="A242" t="str">
        <f t="shared" si="165"/>
        <v>22 Health professionals</v>
      </c>
      <c r="B242" s="11">
        <v>0.94105442914912718</v>
      </c>
      <c r="C242" s="11">
        <v>0.36921842386232456</v>
      </c>
      <c r="D242" s="11">
        <f t="shared" si="166"/>
        <v>-0.57183600528680256</v>
      </c>
      <c r="E242" s="11">
        <v>0.27858413807372562</v>
      </c>
      <c r="F242" s="11">
        <f t="shared" si="167"/>
        <v>-0.29325186721307694</v>
      </c>
      <c r="G242" s="177">
        <f t="shared" si="168"/>
        <v>1.7437546594041953E-2</v>
      </c>
    </row>
    <row r="243" spans="1:7">
      <c r="A243" t="str">
        <f t="shared" si="165"/>
        <v>23 Teaching and other educational professionals</v>
      </c>
      <c r="B243" s="11">
        <v>0.46992987241060635</v>
      </c>
      <c r="C243" s="11">
        <v>0.20869908767294418</v>
      </c>
      <c r="D243" s="11">
        <f t="shared" si="166"/>
        <v>-0.26123078473766215</v>
      </c>
      <c r="E243" s="11">
        <v>0.15309355615031695</v>
      </c>
      <c r="F243" s="11">
        <f t="shared" si="167"/>
        <v>-0.1081372285873452</v>
      </c>
      <c r="G243" s="177">
        <f>IF(B243&gt;0,(1+(E243/B243))^(1/($C$6-$B$6))-1,0)</f>
        <v>1.8977876702208407E-2</v>
      </c>
    </row>
    <row r="244" spans="1:7">
      <c r="A244" t="str">
        <f t="shared" si="165"/>
        <v>24 Business, media and public service professionals</v>
      </c>
      <c r="B244" s="11">
        <v>1.6898354082843994</v>
      </c>
      <c r="C244" s="11">
        <v>0.90379682353137303</v>
      </c>
      <c r="D244" s="11">
        <f t="shared" si="166"/>
        <v>-0.78603858475302635</v>
      </c>
      <c r="E244" s="11">
        <v>0.50690463496498017</v>
      </c>
      <c r="F244" s="11">
        <f t="shared" si="167"/>
        <v>-0.27913394978804618</v>
      </c>
      <c r="G244" s="177">
        <f t="shared" ref="G244:G263" si="169">IF(B244&gt;0,(1+(E244/B244))^(1/($C$6-$B$6))-1,0)</f>
        <v>1.7643393166028476E-2</v>
      </c>
    </row>
    <row r="245" spans="1:7">
      <c r="A245" t="str">
        <f t="shared" si="165"/>
        <v>31 Science, engineering and technology associate professionals</v>
      </c>
      <c r="B245" s="11">
        <v>1.0571328406662892</v>
      </c>
      <c r="C245" s="11">
        <v>0.63703341954695702</v>
      </c>
      <c r="D245" s="11">
        <f t="shared" si="166"/>
        <v>-0.42009942111933218</v>
      </c>
      <c r="E245" s="11">
        <v>0.28278382783139167</v>
      </c>
      <c r="F245" s="11">
        <f t="shared" si="167"/>
        <v>-0.13731559328794052</v>
      </c>
      <c r="G245" s="177">
        <f>IF(B245&gt;0,(1+(E245/B245))^(1/($C$6-$B$6))-1,0)</f>
        <v>1.5928666498073119E-2</v>
      </c>
    </row>
    <row r="246" spans="1:7">
      <c r="A246" t="str">
        <f t="shared" si="165"/>
        <v>32 Health and social care associate professionals</v>
      </c>
      <c r="B246" s="11">
        <v>0.4434376536640845</v>
      </c>
      <c r="C246" s="11">
        <v>0.30336473279635889</v>
      </c>
      <c r="D246" s="11">
        <f t="shared" si="166"/>
        <v>-0.1400729208677256</v>
      </c>
      <c r="E246" s="11">
        <v>0.20164189826166137</v>
      </c>
      <c r="F246" s="11">
        <f t="shared" si="167"/>
        <v>6.156897739393577E-2</v>
      </c>
      <c r="G246" s="177">
        <f t="shared" si="169"/>
        <v>2.5302572905896881E-2</v>
      </c>
    </row>
    <row r="247" spans="1:7">
      <c r="A247" t="str">
        <f t="shared" si="165"/>
        <v>33 Protective service occupations</v>
      </c>
      <c r="B247" s="11">
        <v>0.58393212527107796</v>
      </c>
      <c r="C247" s="11">
        <v>0.29210986721005272</v>
      </c>
      <c r="D247" s="11">
        <f t="shared" si="166"/>
        <v>-0.29182225806102524</v>
      </c>
      <c r="E247" s="11">
        <v>0.13653936633025288</v>
      </c>
      <c r="F247" s="11">
        <f t="shared" si="167"/>
        <v>-0.15528289173077237</v>
      </c>
      <c r="G247" s="177">
        <f t="shared" si="169"/>
        <v>1.4106645782531846E-2</v>
      </c>
    </row>
    <row r="248" spans="1:7">
      <c r="A248" t="str">
        <f t="shared" si="165"/>
        <v>34 Culture, media and sports occupations</v>
      </c>
      <c r="B248" s="11">
        <v>0.44332395509340033</v>
      </c>
      <c r="C248" s="11">
        <v>0.13840270709916119</v>
      </c>
      <c r="D248" s="11">
        <f t="shared" si="166"/>
        <v>-0.30492124799423914</v>
      </c>
      <c r="E248" s="11">
        <v>8.7708272867228487E-2</v>
      </c>
      <c r="F248" s="11">
        <f t="shared" ref="F248:F249" si="170">SUM(D248:E248)</f>
        <v>-0.21721297512701065</v>
      </c>
      <c r="G248" s="177">
        <f t="shared" si="169"/>
        <v>1.210750513851333E-2</v>
      </c>
    </row>
    <row r="249" spans="1:7">
      <c r="A249" t="str">
        <f t="shared" si="165"/>
        <v>35 Business and public service associate professionals</v>
      </c>
      <c r="B249" s="11">
        <v>2.6004774873929857</v>
      </c>
      <c r="C249" s="11">
        <v>1.2664315714118151</v>
      </c>
      <c r="D249" s="11">
        <f t="shared" si="166"/>
        <v>-1.3340459159811706</v>
      </c>
      <c r="E249" s="11">
        <v>0.69051000047668909</v>
      </c>
      <c r="F249" s="11">
        <f t="shared" si="170"/>
        <v>-0.64353591550448153</v>
      </c>
      <c r="G249" s="177">
        <f t="shared" si="169"/>
        <v>1.5823390763535672E-2</v>
      </c>
    </row>
    <row r="250" spans="1:7">
      <c r="A250" t="str">
        <f t="shared" si="165"/>
        <v>41 Administrative occupations</v>
      </c>
      <c r="B250" s="11">
        <v>4.9009950763662768</v>
      </c>
      <c r="C250" s="11">
        <v>1.3041893711679875</v>
      </c>
      <c r="D250" s="11">
        <f t="shared" si="166"/>
        <v>-3.5968057051982893</v>
      </c>
      <c r="E250" s="11">
        <v>1.1324113542715537</v>
      </c>
      <c r="F250" s="11">
        <f t="shared" ref="F250:F253" si="171">SUM(D250:E250)</f>
        <v>-2.4643943509267356</v>
      </c>
      <c r="G250" s="177">
        <f t="shared" si="169"/>
        <v>1.3954704027041132E-2</v>
      </c>
    </row>
    <row r="251" spans="1:7">
      <c r="A251" t="str">
        <f t="shared" si="165"/>
        <v>42 Secretarial and related occupations</v>
      </c>
      <c r="B251" s="11">
        <v>1.6820682967364342</v>
      </c>
      <c r="C251" s="11">
        <v>0.2307788221279865</v>
      </c>
      <c r="D251" s="11">
        <f t="shared" si="166"/>
        <v>-1.4512894746084477</v>
      </c>
      <c r="E251" s="11">
        <v>0.39158883694984242</v>
      </c>
      <c r="F251" s="11">
        <f t="shared" si="171"/>
        <v>-1.0597006376586053</v>
      </c>
      <c r="G251" s="177">
        <f t="shared" si="169"/>
        <v>1.4050433352039482E-2</v>
      </c>
    </row>
    <row r="252" spans="1:7">
      <c r="A252" t="str">
        <f t="shared" si="165"/>
        <v>51 Skilled agricultural and related trades</v>
      </c>
      <c r="B252" s="11">
        <v>0.71514612342379791</v>
      </c>
      <c r="C252" s="11">
        <v>0.80335150336114003</v>
      </c>
      <c r="D252" s="11">
        <f t="shared" si="166"/>
        <v>8.8205379937342121E-2</v>
      </c>
      <c r="E252" s="11">
        <v>0.3364882880601644</v>
      </c>
      <c r="F252" s="11">
        <f t="shared" si="171"/>
        <v>0.42469366799750652</v>
      </c>
      <c r="G252" s="177">
        <f t="shared" si="169"/>
        <v>2.6040885124665403E-2</v>
      </c>
    </row>
    <row r="253" spans="1:7">
      <c r="A253" t="str">
        <f t="shared" si="165"/>
        <v>52 Skilled metal, electrical and electronic trades</v>
      </c>
      <c r="B253" s="11">
        <v>2.8024218417015874</v>
      </c>
      <c r="C253" s="11">
        <v>1.2002888254006703</v>
      </c>
      <c r="D253" s="11">
        <f t="shared" si="166"/>
        <v>-1.6021330163009171</v>
      </c>
      <c r="E253" s="11">
        <v>0.69027253715280945</v>
      </c>
      <c r="F253" s="11">
        <f t="shared" si="171"/>
        <v>-0.91186047914810764</v>
      </c>
      <c r="G253" s="177">
        <f t="shared" si="169"/>
        <v>1.4787568690628028E-2</v>
      </c>
    </row>
    <row r="254" spans="1:7">
      <c r="A254" t="str">
        <f t="shared" si="165"/>
        <v>53 Skilled construction and building trades</v>
      </c>
      <c r="B254" s="11">
        <v>2.6774607516522253</v>
      </c>
      <c r="C254" s="11">
        <v>1.5518542013653056</v>
      </c>
      <c r="D254" s="11">
        <f t="shared" si="166"/>
        <v>-1.1256065502869197</v>
      </c>
      <c r="E254" s="11">
        <v>0.81640043696985498</v>
      </c>
      <c r="F254" s="11">
        <f t="shared" ref="F254" si="172">SUM(D254:E254)</f>
        <v>-0.30920611331706471</v>
      </c>
      <c r="G254" s="177">
        <f t="shared" si="169"/>
        <v>1.7900909027737333E-2</v>
      </c>
    </row>
    <row r="255" spans="1:7">
      <c r="A255" t="str">
        <f t="shared" si="165"/>
        <v>54 Textiles, printing and other skilled trades</v>
      </c>
      <c r="B255" s="11">
        <v>1.5800721221504035</v>
      </c>
      <c r="C255" s="11">
        <v>0.88822338519341559</v>
      </c>
      <c r="D255" s="11">
        <f t="shared" si="166"/>
        <v>-0.6918487369569879</v>
      </c>
      <c r="E255" s="11">
        <v>0.47416734491117546</v>
      </c>
      <c r="F255" s="11">
        <f t="shared" ref="F255" si="173">SUM(D255:E255)</f>
        <v>-0.21768139204581244</v>
      </c>
      <c r="G255" s="177">
        <f t="shared" si="169"/>
        <v>1.7649625725240092E-2</v>
      </c>
    </row>
    <row r="256" spans="1:7">
      <c r="A256" t="str">
        <f t="shared" si="165"/>
        <v>61 Caring personal service occupations</v>
      </c>
      <c r="B256" s="11">
        <v>1.4660701153049098</v>
      </c>
      <c r="C256" s="11">
        <v>0.73893507123057256</v>
      </c>
      <c r="D256" s="11">
        <f>C256-B256</f>
        <v>-0.72713504407433727</v>
      </c>
      <c r="E256" s="11">
        <v>0.33058369520826747</v>
      </c>
      <c r="F256" s="11">
        <f>SUM(D256:E256)</f>
        <v>-0.3965513488660698</v>
      </c>
      <c r="G256" s="177">
        <f t="shared" si="169"/>
        <v>1.3648333678176083E-2</v>
      </c>
    </row>
    <row r="257" spans="1:7">
      <c r="A257" t="str">
        <f t="shared" si="165"/>
        <v>62 Leisure, travel and related personal service occupations</v>
      </c>
      <c r="B257" s="11">
        <v>1.392087677542144</v>
      </c>
      <c r="C257" s="11">
        <v>0.73546264092131908</v>
      </c>
      <c r="D257" s="11">
        <f t="shared" ref="D257:D263" si="174">C257-B257</f>
        <v>-0.65662503662082494</v>
      </c>
      <c r="E257" s="11">
        <v>0.44813919303168165</v>
      </c>
      <c r="F257" s="11">
        <f t="shared" ref="F257:F258" si="175">SUM(D257:E257)</f>
        <v>-0.20848584358914329</v>
      </c>
      <c r="G257" s="177">
        <f t="shared" si="169"/>
        <v>1.8779784133760025E-2</v>
      </c>
    </row>
    <row r="258" spans="1:7">
      <c r="A258" t="str">
        <f t="shared" si="165"/>
        <v>63 Community and civil enforcement occupations</v>
      </c>
      <c r="B258" s="11">
        <v>9.4047922368465722E-2</v>
      </c>
      <c r="C258" s="11">
        <v>5.306508109641133E-2</v>
      </c>
      <c r="D258" s="11">
        <f t="shared" si="174"/>
        <v>-4.0982841272054392E-2</v>
      </c>
      <c r="E258" s="11">
        <v>2.5910398201763409E-2</v>
      </c>
      <c r="F258" s="11">
        <f t="shared" si="175"/>
        <v>-1.5072443070290983E-2</v>
      </c>
      <c r="G258" s="177">
        <f t="shared" si="169"/>
        <v>1.635496106954859E-2</v>
      </c>
    </row>
    <row r="259" spans="1:7">
      <c r="A259" t="str">
        <f t="shared" si="165"/>
        <v>71 Sales occupations</v>
      </c>
      <c r="B259" s="11">
        <v>4.7489068330129562</v>
      </c>
      <c r="C259" s="11">
        <v>1.595251934127762</v>
      </c>
      <c r="D259" s="11">
        <f t="shared" si="174"/>
        <v>-3.1536548988851942</v>
      </c>
      <c r="E259" s="11">
        <v>1.1702225486654796</v>
      </c>
      <c r="F259" s="11">
        <f t="shared" ref="F259:F260" si="176">SUM(D259:E259)</f>
        <v>-1.9834323502197146</v>
      </c>
      <c r="G259" s="177">
        <f t="shared" si="169"/>
        <v>1.4793349150363566E-2</v>
      </c>
    </row>
    <row r="260" spans="1:7">
      <c r="A260" t="str">
        <f t="shared" si="165"/>
        <v>72 Customer service occupations</v>
      </c>
      <c r="B260" s="11">
        <v>1.0856040301194343</v>
      </c>
      <c r="C260" s="11">
        <v>0.8158814591692346</v>
      </c>
      <c r="D260" s="11">
        <f t="shared" si="174"/>
        <v>-0.26972257095019969</v>
      </c>
      <c r="E260" s="11">
        <v>0.31916655975016345</v>
      </c>
      <c r="F260" s="11">
        <f t="shared" si="176"/>
        <v>4.9443988799963756E-2</v>
      </c>
      <c r="G260" s="177">
        <f t="shared" si="169"/>
        <v>1.73309660038794E-2</v>
      </c>
    </row>
    <row r="261" spans="1:7">
      <c r="A261" t="str">
        <f t="shared" si="165"/>
        <v>81 Process, plant and machine operatives</v>
      </c>
      <c r="B261" s="11">
        <v>4.356130214201861</v>
      </c>
      <c r="C261" s="11">
        <v>1.8570656265852192</v>
      </c>
      <c r="D261" s="11">
        <f t="shared" si="174"/>
        <v>-2.4990645876166417</v>
      </c>
      <c r="E261" s="11">
        <v>1.2319562167523013</v>
      </c>
      <c r="F261" s="11">
        <f t="shared" ref="F261:F262" si="177">SUM(D261:E261)</f>
        <v>-1.2671083708643405</v>
      </c>
      <c r="G261" s="177">
        <f t="shared" si="169"/>
        <v>1.6742125216935522E-2</v>
      </c>
    </row>
    <row r="262" spans="1:7">
      <c r="A262" t="str">
        <f t="shared" si="165"/>
        <v>82 Transport and mobile machine drivers and operatives</v>
      </c>
      <c r="B262" s="11">
        <v>5.3205790763657879</v>
      </c>
      <c r="C262" s="11">
        <v>3.5482319367690311</v>
      </c>
      <c r="D262" s="11">
        <f t="shared" si="174"/>
        <v>-1.7723471395967567</v>
      </c>
      <c r="E262" s="11">
        <v>2.0476353812307573</v>
      </c>
      <c r="F262" s="11">
        <f t="shared" si="177"/>
        <v>0.27528824163400056</v>
      </c>
      <c r="G262" s="177">
        <f t="shared" si="169"/>
        <v>2.1943510992143311E-2</v>
      </c>
    </row>
    <row r="263" spans="1:7">
      <c r="A263" t="str">
        <f t="shared" si="165"/>
        <v>91 Elementary trades and related occupations</v>
      </c>
      <c r="B263" s="11">
        <v>2.6670253289912735</v>
      </c>
      <c r="C263" s="11">
        <v>3.4732844371305114</v>
      </c>
      <c r="D263" s="11">
        <f t="shared" si="174"/>
        <v>0.80625910813923785</v>
      </c>
      <c r="E263" s="11">
        <v>1.6622623516562582</v>
      </c>
      <c r="F263" s="11">
        <f t="shared" ref="F263" si="178">SUM(D263:E263)</f>
        <v>2.4685214597954959</v>
      </c>
      <c r="G263" s="177">
        <f t="shared" si="169"/>
        <v>3.2823126024816185E-2</v>
      </c>
    </row>
    <row r="264" spans="1:7">
      <c r="A264" t="str">
        <f t="shared" si="165"/>
        <v>92 Elementary administration and service occupations</v>
      </c>
      <c r="B264" s="11">
        <v>9.2319589785710523</v>
      </c>
      <c r="C264" s="11">
        <v>4.7408136531862057</v>
      </c>
      <c r="D264" s="11">
        <f t="shared" ref="D264" si="179">C264-B264</f>
        <v>-4.4911453253848466</v>
      </c>
      <c r="E264" s="11">
        <v>2.7616875827452185</v>
      </c>
      <c r="F264" s="11">
        <f>SUM(D264:E264)</f>
        <v>-1.729457742639628</v>
      </c>
      <c r="G264" s="177">
        <f t="shared" ref="G264:G265" si="180">IF(B264&gt;0,(1+(E264/B264))^(1/($C$6-$B$6))-1,0)</f>
        <v>1.760014151007816E-2</v>
      </c>
    </row>
    <row r="265" spans="1:7">
      <c r="A265" t="str">
        <f t="shared" si="165"/>
        <v>All occupations</v>
      </c>
      <c r="B265" s="11">
        <f>SUM(B239:B264)</f>
        <v>60.025143488041756</v>
      </c>
      <c r="C265" s="11">
        <f t="shared" ref="C265:F265" si="181">SUM(C239:C264)</f>
        <v>31.922824506490013</v>
      </c>
      <c r="D265" s="11">
        <f t="shared" si="181"/>
        <v>-28.102318981551729</v>
      </c>
      <c r="E265" s="11">
        <f t="shared" si="181"/>
        <v>18.511091400538422</v>
      </c>
      <c r="F265" s="11">
        <f t="shared" si="181"/>
        <v>-9.5912275810133139</v>
      </c>
      <c r="G265" s="177">
        <f t="shared" si="180"/>
        <v>1.8081294259755021E-2</v>
      </c>
    </row>
    <row r="267" spans="1:7" ht="38.25">
      <c r="A267" s="178" t="str">
        <f>CONCATENATE(name!F12," (Constrained)")</f>
        <v>No Qualification (Constrained)</v>
      </c>
      <c r="B267" s="70">
        <f t="shared" ref="B267:G267" si="182">B180</f>
        <v>2020</v>
      </c>
      <c r="C267" s="70">
        <f t="shared" si="182"/>
        <v>2035</v>
      </c>
      <c r="D267" s="70" t="str">
        <f t="shared" si="182"/>
        <v>Net Change</v>
      </c>
      <c r="E267" s="70" t="str">
        <f t="shared" si="182"/>
        <v>Replacement Demand level</v>
      </c>
      <c r="F267" s="70" t="str">
        <f t="shared" si="182"/>
        <v>Total Requirement</v>
      </c>
      <c r="G267" s="70" t="str">
        <f t="shared" si="182"/>
        <v>Replacement Demand rate</v>
      </c>
    </row>
    <row r="268" spans="1:7">
      <c r="A268" t="str">
        <f t="shared" ref="A268:A294" si="183">A181</f>
        <v>11 Corporate managers and directors</v>
      </c>
      <c r="B268" s="11">
        <v>1.1738990392941775</v>
      </c>
      <c r="C268" s="11">
        <v>0.62025634705124544</v>
      </c>
      <c r="D268" s="11">
        <f>C268-B268</f>
        <v>-0.55364269224293206</v>
      </c>
      <c r="E268" s="11">
        <v>0.26406488953692731</v>
      </c>
      <c r="F268" s="11">
        <f>SUM(D268:E268)</f>
        <v>-0.28957780270600475</v>
      </c>
      <c r="G268" s="177">
        <f>IF(B268&gt;0,(1+(E268/B268))^(1/($C$6-$B$6))-1,0)</f>
        <v>1.3618393887466107E-2</v>
      </c>
    </row>
    <row r="269" spans="1:7">
      <c r="A269" t="str">
        <f t="shared" si="183"/>
        <v>12 Other managers and proprietors</v>
      </c>
      <c r="B269" s="11">
        <v>0.7474905956119029</v>
      </c>
      <c r="C269" s="11">
        <v>0.35517126377611108</v>
      </c>
      <c r="D269" s="11">
        <f t="shared" ref="D269:D284" si="184">C269-B269</f>
        <v>-0.39231933183579182</v>
      </c>
      <c r="E269" s="11">
        <v>0.18836469138738829</v>
      </c>
      <c r="F269" s="11">
        <f t="shared" ref="F269:F276" si="185">SUM(D269:E269)</f>
        <v>-0.20395464044840353</v>
      </c>
      <c r="G269" s="177">
        <f t="shared" ref="G269:G271" si="186">IF(B269&gt;0,(1+(E269/B269))^(1/($C$6-$B$6))-1,0)</f>
        <v>1.5095410772345996E-2</v>
      </c>
    </row>
    <row r="270" spans="1:7">
      <c r="A270" t="str">
        <f t="shared" si="183"/>
        <v>21 Science, research, engineering and technology professionals</v>
      </c>
      <c r="B270" s="11">
        <v>0.60251175061506246</v>
      </c>
      <c r="C270" s="11">
        <v>0.43899532083362797</v>
      </c>
      <c r="D270" s="11">
        <f t="shared" si="184"/>
        <v>-0.16351642978143449</v>
      </c>
      <c r="E270" s="11">
        <v>0.16200144566850666</v>
      </c>
      <c r="F270" s="11">
        <f t="shared" si="185"/>
        <v>-1.5149841129278308E-3</v>
      </c>
      <c r="G270" s="177">
        <f t="shared" si="186"/>
        <v>1.6002159404049365E-2</v>
      </c>
    </row>
    <row r="271" spans="1:7">
      <c r="A271" t="str">
        <f t="shared" si="183"/>
        <v>22 Health professionals</v>
      </c>
      <c r="B271" s="11">
        <v>0.31063394520542525</v>
      </c>
      <c r="C271" s="11">
        <v>0.16826221970663285</v>
      </c>
      <c r="D271" s="11">
        <f t="shared" si="184"/>
        <v>-0.1423717254987924</v>
      </c>
      <c r="E271" s="11">
        <v>8.7665390222186015E-2</v>
      </c>
      <c r="F271" s="11">
        <f t="shared" si="185"/>
        <v>-5.4706335276606385E-2</v>
      </c>
      <c r="G271" s="177">
        <f t="shared" si="186"/>
        <v>1.6710662073652571E-2</v>
      </c>
    </row>
    <row r="272" spans="1:7">
      <c r="A272" t="str">
        <f t="shared" si="183"/>
        <v>23 Teaching and other educational professionals</v>
      </c>
      <c r="B272" s="11">
        <v>0.21146611855062372</v>
      </c>
      <c r="C272" s="11">
        <v>0.1166817075868013</v>
      </c>
      <c r="D272" s="11">
        <f t="shared" si="184"/>
        <v>-9.4784410963822424E-2</v>
      </c>
      <c r="E272" s="11">
        <v>6.3443833399459332E-2</v>
      </c>
      <c r="F272" s="11">
        <f t="shared" si="185"/>
        <v>-3.1340577564363092E-2</v>
      </c>
      <c r="G272" s="177">
        <f>IF(B272&gt;0,(1+(E272/B272))^(1/($C$6-$B$6))-1,0)</f>
        <v>1.7645800008566415E-2</v>
      </c>
    </row>
    <row r="273" spans="1:7">
      <c r="A273" t="str">
        <f t="shared" si="183"/>
        <v>24 Business, media and public service professionals</v>
      </c>
      <c r="B273" s="11">
        <v>0.64596547543810201</v>
      </c>
      <c r="C273" s="11">
        <v>0.35132501500276314</v>
      </c>
      <c r="D273" s="11">
        <f t="shared" si="184"/>
        <v>-0.29464046043533887</v>
      </c>
      <c r="E273" s="11">
        <v>0.16365818287024261</v>
      </c>
      <c r="F273" s="11">
        <f t="shared" si="185"/>
        <v>-0.13098227756509626</v>
      </c>
      <c r="G273" s="177">
        <f t="shared" ref="G273" si="187">IF(B273&gt;0,(1+(E273/B273))^(1/($C$6-$B$6))-1,0)</f>
        <v>1.5168793251565393E-2</v>
      </c>
    </row>
    <row r="274" spans="1:7">
      <c r="A274" t="str">
        <f t="shared" si="183"/>
        <v>31 Science, engineering and technology associate professionals</v>
      </c>
      <c r="B274" s="11">
        <v>0.32434123960780642</v>
      </c>
      <c r="C274" s="11">
        <v>0.28612459896630899</v>
      </c>
      <c r="D274" s="11">
        <f t="shared" si="184"/>
        <v>-3.8216640641497435E-2</v>
      </c>
      <c r="E274" s="11">
        <v>0.10595298393677755</v>
      </c>
      <c r="F274" s="11">
        <f t="shared" si="185"/>
        <v>6.773634329528011E-2</v>
      </c>
      <c r="G274" s="177">
        <f>IF(B274&gt;0,(1+(E274/B274))^(1/($C$6-$B$6))-1,0)</f>
        <v>1.9023554910414742E-2</v>
      </c>
    </row>
    <row r="275" spans="1:7">
      <c r="A275" t="str">
        <f t="shared" si="183"/>
        <v>32 Health and social care associate professionals</v>
      </c>
      <c r="B275" s="11">
        <v>0.12215912615490418</v>
      </c>
      <c r="C275" s="11">
        <v>0.11485210956567854</v>
      </c>
      <c r="D275" s="11">
        <f t="shared" si="184"/>
        <v>-7.30701658922564E-3</v>
      </c>
      <c r="E275" s="11">
        <v>5.1791669254615202E-2</v>
      </c>
      <c r="F275" s="11">
        <f t="shared" si="185"/>
        <v>4.4484652665389562E-2</v>
      </c>
      <c r="G275" s="177">
        <f t="shared" ref="G275:G292" si="188">IF(B275&gt;0,(1+(E275/B275))^(1/($C$6-$B$6))-1,0)</f>
        <v>2.3843003301435628E-2</v>
      </c>
    </row>
    <row r="276" spans="1:7">
      <c r="A276" t="str">
        <f t="shared" si="183"/>
        <v>33 Protective service occupations</v>
      </c>
      <c r="B276" s="11">
        <v>0.13157433054553327</v>
      </c>
      <c r="C276" s="11">
        <v>7.1410348938892476E-2</v>
      </c>
      <c r="D276" s="11">
        <f t="shared" si="184"/>
        <v>-6.0163981606640798E-2</v>
      </c>
      <c r="E276" s="11">
        <v>2.0668394386851443E-2</v>
      </c>
      <c r="F276" s="11">
        <f t="shared" si="185"/>
        <v>-3.9495587219789352E-2</v>
      </c>
      <c r="G276" s="177">
        <f t="shared" si="188"/>
        <v>9.7744057243638327E-3</v>
      </c>
    </row>
    <row r="277" spans="1:7">
      <c r="A277" t="str">
        <f t="shared" si="183"/>
        <v>34 Culture, media and sports occupations</v>
      </c>
      <c r="B277" s="11">
        <v>0.2881935504382131</v>
      </c>
      <c r="C277" s="11">
        <v>0.14594160158156683</v>
      </c>
      <c r="D277" s="11">
        <f t="shared" si="184"/>
        <v>-0.14225194885664627</v>
      </c>
      <c r="E277" s="11">
        <v>6.6315576150305977E-2</v>
      </c>
      <c r="F277" s="11">
        <f t="shared" ref="F277:F278" si="189">SUM(D277:E277)</f>
        <v>-7.5936372706340294E-2</v>
      </c>
      <c r="G277" s="177">
        <f t="shared" si="188"/>
        <v>1.3902539580110007E-2</v>
      </c>
    </row>
    <row r="278" spans="1:7">
      <c r="A278" t="str">
        <f t="shared" si="183"/>
        <v>35 Business and public service associate professionals</v>
      </c>
      <c r="B278" s="11">
        <v>0.97256066593665447</v>
      </c>
      <c r="C278" s="11">
        <v>0.51917055629754838</v>
      </c>
      <c r="D278" s="11">
        <f t="shared" si="184"/>
        <v>-0.45339010963910609</v>
      </c>
      <c r="E278" s="11">
        <v>0.20566464147618702</v>
      </c>
      <c r="F278" s="11">
        <f t="shared" si="189"/>
        <v>-0.24772546816291907</v>
      </c>
      <c r="G278" s="177">
        <f t="shared" si="188"/>
        <v>1.2870936801239852E-2</v>
      </c>
    </row>
    <row r="279" spans="1:7">
      <c r="A279" t="str">
        <f t="shared" si="183"/>
        <v>41 Administrative occupations</v>
      </c>
      <c r="B279" s="11">
        <v>2.0244289830535291</v>
      </c>
      <c r="C279" s="11">
        <v>0.99277260370390097</v>
      </c>
      <c r="D279" s="11">
        <f t="shared" si="184"/>
        <v>-1.0316563793496281</v>
      </c>
      <c r="E279" s="11">
        <v>0.44070305913813612</v>
      </c>
      <c r="F279" s="11">
        <f t="shared" ref="F279:F282" si="190">SUM(D279:E279)</f>
        <v>-0.59095332021149194</v>
      </c>
      <c r="G279" s="177">
        <f t="shared" si="188"/>
        <v>1.3217096784785776E-2</v>
      </c>
    </row>
    <row r="280" spans="1:7">
      <c r="A280" t="str">
        <f t="shared" si="183"/>
        <v>42 Secretarial and related occupations</v>
      </c>
      <c r="B280" s="11">
        <v>0.65943185089343614</v>
      </c>
      <c r="C280" s="11">
        <v>0.40650727936597925</v>
      </c>
      <c r="D280" s="11">
        <f t="shared" si="184"/>
        <v>-0.2529245715274569</v>
      </c>
      <c r="E280" s="11">
        <v>0.20612775534541428</v>
      </c>
      <c r="F280" s="11">
        <f t="shared" si="190"/>
        <v>-4.6796816182042622E-2</v>
      </c>
      <c r="G280" s="177">
        <f t="shared" si="188"/>
        <v>1.8298578192037507E-2</v>
      </c>
    </row>
    <row r="281" spans="1:7">
      <c r="A281" t="str">
        <f t="shared" si="183"/>
        <v>51 Skilled agricultural and related trades</v>
      </c>
      <c r="B281" s="11">
        <v>0.46963499929906038</v>
      </c>
      <c r="C281" s="11">
        <v>0.2330324223352068</v>
      </c>
      <c r="D281" s="11">
        <f t="shared" si="184"/>
        <v>-0.23660257696385359</v>
      </c>
      <c r="E281" s="11">
        <v>0.12891802698492949</v>
      </c>
      <c r="F281" s="11">
        <f t="shared" si="190"/>
        <v>-0.1076845499789241</v>
      </c>
      <c r="G281" s="177">
        <f t="shared" si="188"/>
        <v>1.6302073696274233E-2</v>
      </c>
    </row>
    <row r="282" spans="1:7">
      <c r="A282" t="str">
        <f t="shared" si="183"/>
        <v>52 Skilled metal, electrical and electronic trades</v>
      </c>
      <c r="B282" s="11">
        <v>1.444272980015455</v>
      </c>
      <c r="C282" s="11">
        <v>0.4564254894928943</v>
      </c>
      <c r="D282" s="11">
        <f t="shared" si="184"/>
        <v>-0.98784749052256071</v>
      </c>
      <c r="E282" s="11">
        <v>0.25872450442454226</v>
      </c>
      <c r="F282" s="11">
        <f t="shared" si="190"/>
        <v>-0.7291229860980184</v>
      </c>
      <c r="G282" s="177">
        <f t="shared" si="188"/>
        <v>1.1046153677547688E-2</v>
      </c>
    </row>
    <row r="283" spans="1:7">
      <c r="A283" t="str">
        <f t="shared" si="183"/>
        <v>53 Skilled construction and building trades</v>
      </c>
      <c r="B283" s="11">
        <v>1.9945758633782662</v>
      </c>
      <c r="C283" s="11">
        <v>0.17999781673767709</v>
      </c>
      <c r="D283" s="11">
        <f t="shared" si="184"/>
        <v>-1.8145780466405892</v>
      </c>
      <c r="E283" s="11">
        <v>0.23953242733313707</v>
      </c>
      <c r="F283" s="11">
        <f t="shared" ref="F283" si="191">SUM(D283:E283)</f>
        <v>-1.5750456193074522</v>
      </c>
      <c r="G283" s="177">
        <f t="shared" si="188"/>
        <v>7.5893707497844964E-3</v>
      </c>
    </row>
    <row r="284" spans="1:7">
      <c r="A284" t="str">
        <f t="shared" si="183"/>
        <v>54 Textiles, printing and other skilled trades</v>
      </c>
      <c r="B284" s="11">
        <v>1.1669076436963572</v>
      </c>
      <c r="C284" s="11">
        <v>0.4214611141006453</v>
      </c>
      <c r="D284" s="11">
        <f t="shared" si="184"/>
        <v>-0.745446529595712</v>
      </c>
      <c r="E284" s="11">
        <v>0.20499360045299536</v>
      </c>
      <c r="F284" s="11">
        <f t="shared" ref="F284" si="192">SUM(D284:E284)</f>
        <v>-0.5404529291427167</v>
      </c>
      <c r="G284" s="177">
        <f t="shared" si="188"/>
        <v>1.0847770796448275E-2</v>
      </c>
    </row>
    <row r="285" spans="1:7">
      <c r="A285" t="str">
        <f t="shared" si="183"/>
        <v>61 Caring personal service occupations</v>
      </c>
      <c r="B285" s="11">
        <v>0.52346223229924793</v>
      </c>
      <c r="C285" s="11">
        <v>0.30285019289841425</v>
      </c>
      <c r="D285" s="11">
        <f>C285-B285</f>
        <v>-0.22061203940083368</v>
      </c>
      <c r="E285" s="11">
        <v>0.11760125142725299</v>
      </c>
      <c r="F285" s="11">
        <f>SUM(D285:E285)</f>
        <v>-0.10301078797358069</v>
      </c>
      <c r="G285" s="177">
        <f t="shared" si="188"/>
        <v>1.3602591921546114E-2</v>
      </c>
    </row>
    <row r="286" spans="1:7">
      <c r="A286" t="str">
        <f t="shared" si="183"/>
        <v>62 Leisure, travel and related personal service occupations</v>
      </c>
      <c r="B286" s="11">
        <v>0.73439934112158267</v>
      </c>
      <c r="C286" s="11">
        <v>0.21855535154126704</v>
      </c>
      <c r="D286" s="11">
        <f t="shared" ref="D286:D292" si="193">C286-B286</f>
        <v>-0.51584398958031563</v>
      </c>
      <c r="E286" s="11">
        <v>0.11610218612722276</v>
      </c>
      <c r="F286" s="11">
        <f t="shared" ref="F286:F287" si="194">SUM(D286:E286)</f>
        <v>-0.39974180345309285</v>
      </c>
      <c r="G286" s="177">
        <f t="shared" si="188"/>
        <v>9.8329128643410701E-3</v>
      </c>
    </row>
    <row r="287" spans="1:7">
      <c r="A287" t="str">
        <f t="shared" si="183"/>
        <v>63 Community and civil enforcement occupations</v>
      </c>
      <c r="B287" s="11">
        <v>4.2042430076300347E-2</v>
      </c>
      <c r="C287" s="11">
        <v>7.5248768286723675E-3</v>
      </c>
      <c r="D287" s="11">
        <f t="shared" si="193"/>
        <v>-3.451755324762798E-2</v>
      </c>
      <c r="E287" s="11">
        <v>3.8898006892707257E-3</v>
      </c>
      <c r="F287" s="11">
        <f t="shared" si="194"/>
        <v>-3.0627752558357254E-2</v>
      </c>
      <c r="G287" s="177">
        <f t="shared" si="188"/>
        <v>5.9166156170578077E-3</v>
      </c>
    </row>
    <row r="288" spans="1:7">
      <c r="A288" t="str">
        <f t="shared" si="183"/>
        <v>71 Sales occupations</v>
      </c>
      <c r="B288" s="11">
        <v>2.9023787376878705</v>
      </c>
      <c r="C288" s="11">
        <v>0.8093126195934367</v>
      </c>
      <c r="D288" s="11">
        <f t="shared" si="193"/>
        <v>-2.0930661180944337</v>
      </c>
      <c r="E288" s="11">
        <v>0.39859311044588019</v>
      </c>
      <c r="F288" s="11">
        <f t="shared" ref="F288:F289" si="195">SUM(D288:E288)</f>
        <v>-1.6944730076485535</v>
      </c>
      <c r="G288" s="177">
        <f t="shared" si="188"/>
        <v>8.615990437559562E-3</v>
      </c>
    </row>
    <row r="289" spans="1:7">
      <c r="A289" t="str">
        <f t="shared" si="183"/>
        <v>72 Customer service occupations</v>
      </c>
      <c r="B289" s="11">
        <v>0.60538144190958221</v>
      </c>
      <c r="C289" s="11">
        <v>0.4389544810029461</v>
      </c>
      <c r="D289" s="11">
        <f t="shared" si="193"/>
        <v>-0.16642696090663611</v>
      </c>
      <c r="E289" s="11">
        <v>0.16684289007027783</v>
      </c>
      <c r="F289" s="11">
        <f t="shared" si="195"/>
        <v>4.1592916364172061E-4</v>
      </c>
      <c r="G289" s="177">
        <f t="shared" si="188"/>
        <v>1.6360141941726747E-2</v>
      </c>
    </row>
    <row r="290" spans="1:7">
      <c r="A290" t="str">
        <f t="shared" si="183"/>
        <v>81 Process, plant and machine operatives</v>
      </c>
      <c r="B290" s="11">
        <v>2.5060065470592061</v>
      </c>
      <c r="C290" s="11">
        <v>0.28710650314188546</v>
      </c>
      <c r="D290" s="11">
        <f t="shared" si="193"/>
        <v>-2.2189000439173205</v>
      </c>
      <c r="E290" s="11">
        <v>0.21495332440246118</v>
      </c>
      <c r="F290" s="11">
        <f t="shared" ref="F290:F291" si="196">SUM(D290:E290)</f>
        <v>-2.0039467195148593</v>
      </c>
      <c r="G290" s="177">
        <f t="shared" si="188"/>
        <v>5.5013600732445322E-3</v>
      </c>
    </row>
    <row r="291" spans="1:7">
      <c r="A291" t="str">
        <f t="shared" si="183"/>
        <v>82 Transport and mobile machine drivers and operatives</v>
      </c>
      <c r="B291" s="11">
        <v>3.6615266969888709</v>
      </c>
      <c r="C291" s="11">
        <v>0.89948157343900803</v>
      </c>
      <c r="D291" s="11">
        <f t="shared" si="193"/>
        <v>-2.7620451235498629</v>
      </c>
      <c r="E291" s="11">
        <v>0.77732930445290449</v>
      </c>
      <c r="F291" s="11">
        <f t="shared" si="196"/>
        <v>-1.9847158190969583</v>
      </c>
      <c r="G291" s="177">
        <f t="shared" si="188"/>
        <v>1.2917147832390397E-2</v>
      </c>
    </row>
    <row r="292" spans="1:7">
      <c r="A292" t="str">
        <f t="shared" si="183"/>
        <v>91 Elementary trades and related occupations</v>
      </c>
      <c r="B292" s="11">
        <v>1.9171516914918572</v>
      </c>
      <c r="C292" s="11">
        <v>1.8296447519611361</v>
      </c>
      <c r="D292" s="11">
        <f t="shared" si="193"/>
        <v>-8.7506939530721084E-2</v>
      </c>
      <c r="E292" s="11">
        <v>0.78628444670210529</v>
      </c>
      <c r="F292" s="11">
        <f t="shared" ref="F292" si="197">SUM(D292:E292)</f>
        <v>0.6987775071713842</v>
      </c>
      <c r="G292" s="177">
        <f t="shared" si="188"/>
        <v>2.3176701855644133E-2</v>
      </c>
    </row>
    <row r="293" spans="1:7">
      <c r="A293" t="str">
        <f t="shared" si="183"/>
        <v>92 Elementary administration and service occupations</v>
      </c>
      <c r="B293" s="11">
        <v>5.6075842246575638</v>
      </c>
      <c r="C293" s="11">
        <v>1.4780064718658348</v>
      </c>
      <c r="D293" s="11">
        <f t="shared" ref="D293" si="198">C293-B293</f>
        <v>-4.1295777527917288</v>
      </c>
      <c r="E293" s="11">
        <v>0.80154576182449222</v>
      </c>
      <c r="F293" s="11">
        <f t="shared" ref="F293" si="199">SUM(D293:E293)</f>
        <v>-3.3280319909672365</v>
      </c>
      <c r="G293" s="177">
        <f t="shared" ref="G293:G294" si="200">IF(B293&gt;0,(1+(E293/B293))^(1/($C$6-$B$6))-1,0)</f>
        <v>8.9466862730029906E-3</v>
      </c>
    </row>
    <row r="294" spans="1:7">
      <c r="A294" s="22" t="str">
        <f t="shared" si="183"/>
        <v>All occupations</v>
      </c>
      <c r="B294" s="27">
        <f>SUM(B268:B293)</f>
        <v>31.789981501026592</v>
      </c>
      <c r="C294" s="27">
        <f t="shared" ref="C294:F294" si="201">SUM(C268:C293)</f>
        <v>12.149824637316081</v>
      </c>
      <c r="D294" s="27">
        <f t="shared" si="201"/>
        <v>-19.640156863710509</v>
      </c>
      <c r="E294" s="27">
        <f t="shared" si="201"/>
        <v>6.2417331481104696</v>
      </c>
      <c r="F294" s="27">
        <f t="shared" si="201"/>
        <v>-13.398423715600041</v>
      </c>
      <c r="G294" s="210">
        <f t="shared" si="200"/>
        <v>1.2022982894636547E-2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/>
  <cols>
    <col min="1" max="14" width="9.140625" style="63"/>
    <col min="15" max="15" width="44.140625" customWidth="1"/>
    <col min="16" max="17" width="16.85546875" customWidth="1"/>
  </cols>
  <sheetData>
    <row r="1" spans="1:17" ht="15.75">
      <c r="A1" s="62" t="str">
        <f>CONCATENATE("Replacement Demand Figure 1  Replacement Demand by Occupation Group (SOC 2020), ",P4,", ",Info!B5)</f>
        <v>Replacement Demand Figure 1  Replacement Demand by Occupation Group (SOC 2020), 2020-2035, Black Country</v>
      </c>
    </row>
    <row r="2" spans="1:17">
      <c r="A2" s="335" t="s">
        <v>163</v>
      </c>
    </row>
    <row r="3" spans="1:17">
      <c r="O3" s="36" t="s">
        <v>196</v>
      </c>
    </row>
    <row r="4" spans="1:17">
      <c r="P4" s="16" t="str">
        <f>'Occ T1'!H4</f>
        <v>2020-2035</v>
      </c>
    </row>
    <row r="5" spans="1:17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>
      <c r="P6" s="11"/>
      <c r="Q6" s="11"/>
    </row>
    <row r="7" spans="1:17">
      <c r="O7" t="str">
        <f>name!E12</f>
        <v>Elementary occupations</v>
      </c>
      <c r="P7" s="11">
        <f>'Occ T1'!H16</f>
        <v>-0.30888113075301504</v>
      </c>
      <c r="Q7" s="11">
        <f>'Occ T1'!J16</f>
        <v>22.489106732582641</v>
      </c>
    </row>
    <row r="8" spans="1:17">
      <c r="O8" t="str">
        <f>name!E11</f>
        <v>Process, plant and machine operatives</v>
      </c>
      <c r="P8" s="11">
        <f>'Occ T1'!H15</f>
        <v>-0.15863657338866233</v>
      </c>
      <c r="Q8" s="11">
        <f>'Occ T1'!J15</f>
        <v>19.309786239425978</v>
      </c>
    </row>
    <row r="9" spans="1:17">
      <c r="O9" t="str">
        <f>name!E10</f>
        <v>Sales and customer service occupations</v>
      </c>
      <c r="P9" s="11">
        <f>'Occ T1'!H14</f>
        <v>-0.25870313674354861</v>
      </c>
      <c r="Q9" s="11">
        <f>'Occ T1'!J14</f>
        <v>17.552191640652445</v>
      </c>
    </row>
    <row r="10" spans="1:17">
      <c r="O10" t="str">
        <f>name!E9</f>
        <v>Caring, leisure and other service occupations</v>
      </c>
      <c r="P10" s="11">
        <f>'Occ T1'!H13</f>
        <v>4.5817349046127376</v>
      </c>
      <c r="Q10" s="11">
        <f>'Occ T1'!J13</f>
        <v>33.236917556178</v>
      </c>
    </row>
    <row r="11" spans="1:17">
      <c r="O11" t="str">
        <f>name!E8</f>
        <v>Skilled trades occupations</v>
      </c>
      <c r="P11" s="11">
        <f>'Occ T1'!H12</f>
        <v>-5.4699233712994157</v>
      </c>
      <c r="Q11" s="11">
        <f>'Occ T1'!J12</f>
        <v>14.891703136376162</v>
      </c>
    </row>
    <row r="12" spans="1:17">
      <c r="O12" t="str">
        <f>name!E7</f>
        <v>Administrative and secretarial occupations</v>
      </c>
      <c r="P12" s="11">
        <f>'Occ T1'!H11</f>
        <v>-2.9511293871973407</v>
      </c>
      <c r="Q12" s="11">
        <f>'Occ T1'!J11</f>
        <v>25.282095390748907</v>
      </c>
    </row>
    <row r="13" spans="1:17">
      <c r="O13" t="str">
        <f>name!E6</f>
        <v>Associate professional occupations</v>
      </c>
      <c r="P13" s="11">
        <f>'Occ T1'!H10</f>
        <v>10.694342641748491</v>
      </c>
      <c r="Q13" s="11">
        <f>'Occ T1'!J10</f>
        <v>42.42460793045494</v>
      </c>
    </row>
    <row r="14" spans="1:17">
      <c r="O14" t="str">
        <f>name!E5</f>
        <v>Professional occupations</v>
      </c>
      <c r="P14" s="11">
        <f>'Occ T1'!H9</f>
        <v>18.195384258862177</v>
      </c>
      <c r="Q14" s="11">
        <f>'Occ T1'!J9</f>
        <v>70.294767484452763</v>
      </c>
    </row>
    <row r="15" spans="1:17">
      <c r="O15" t="str">
        <f>name!E4</f>
        <v>Managers, directors and senior officials</v>
      </c>
      <c r="P15" s="11">
        <f>'Occ T1'!H8</f>
        <v>1.4258117941584203</v>
      </c>
      <c r="Q15" s="11">
        <f>'Occ T1'!J8</f>
        <v>25.98703749599521</v>
      </c>
    </row>
    <row r="34" spans="1:17" ht="15.75">
      <c r="A34" s="62" t="str">
        <f>CONCATENATE("Replacement Demand Figure 1.1  Replacement Demand by Occupation (SOC 2020), ",P35,", ",Info!B5)</f>
        <v>Replacement Demand Figure 1.1  Replacement Demand by Occupation (SOC 2020), 2020-2035, Black Country</v>
      </c>
      <c r="O34" s="36" t="s">
        <v>196</v>
      </c>
    </row>
    <row r="35" spans="1:17">
      <c r="P35" s="16" t="str">
        <f>'Occ T1'!H4</f>
        <v>2020-2035</v>
      </c>
    </row>
    <row r="36" spans="1:17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>
      <c r="O37" s="10" t="str">
        <f>name!D4</f>
        <v>11 Corporate managers and directors</v>
      </c>
      <c r="P37" s="11">
        <f>'Occ T2'!H8</f>
        <v>-0.63237684257853033</v>
      </c>
      <c r="Q37" s="11">
        <f>'Occ T2'!J8</f>
        <v>15.857589617225866</v>
      </c>
    </row>
    <row r="38" spans="1:17">
      <c r="O38" s="10" t="str">
        <f>name!D5</f>
        <v>12 Other managers and proprietors</v>
      </c>
      <c r="P38" s="11">
        <f>'Occ T2'!H9</f>
        <v>2.0581886367369489</v>
      </c>
      <c r="Q38" s="11">
        <f>'Occ T2'!J9</f>
        <v>10.129447878769344</v>
      </c>
    </row>
    <row r="39" spans="1:17">
      <c r="O39" s="10" t="str">
        <f>name!D6</f>
        <v>21 Science, research, engineering and technology professionals</v>
      </c>
      <c r="P39" s="11">
        <f>'Occ T2'!H10</f>
        <v>9.785995648515307</v>
      </c>
      <c r="Q39" s="11">
        <f>'Occ T2'!J10</f>
        <v>21.814704094914461</v>
      </c>
    </row>
    <row r="40" spans="1:17">
      <c r="O40" s="10" t="str">
        <f>name!D7</f>
        <v>22 Health professionals</v>
      </c>
      <c r="P40" s="11">
        <f>'Occ T2'!H11</f>
        <v>1.6943192677989956</v>
      </c>
      <c r="Q40" s="11">
        <f>'Occ T2'!J11</f>
        <v>16.060853948588878</v>
      </c>
    </row>
    <row r="41" spans="1:17">
      <c r="O41" s="10" t="str">
        <f>name!D8</f>
        <v>23 Teaching and other educational professionals</v>
      </c>
      <c r="P41" s="11">
        <f>'Occ T2'!H12</f>
        <v>2.1387384451723044</v>
      </c>
      <c r="Q41" s="11">
        <f>'Occ T2'!J12</f>
        <v>13.618970881797207</v>
      </c>
    </row>
    <row r="42" spans="1:17">
      <c r="O42" s="10" t="str">
        <f>name!D9</f>
        <v>24 Business, media and public service professionals</v>
      </c>
      <c r="P42" s="11">
        <f>'Occ T2'!H13</f>
        <v>4.5763308973755699</v>
      </c>
      <c r="Q42" s="11">
        <f>'Occ T2'!J13</f>
        <v>18.800238559152206</v>
      </c>
    </row>
    <row r="43" spans="1:17">
      <c r="O43" s="10" t="str">
        <f>name!D10</f>
        <v>31 Science, engineering and technology associate professionals</v>
      </c>
      <c r="P43" s="11">
        <f>'Occ T2'!H14</f>
        <v>-0.28358469201754843</v>
      </c>
      <c r="Q43" s="11">
        <f>'Occ T2'!J14</f>
        <v>2.9672614568897928</v>
      </c>
    </row>
    <row r="44" spans="1:17">
      <c r="O44" s="10" t="str">
        <f>name!D11</f>
        <v>32 Health and social care associate professionals</v>
      </c>
      <c r="P44" s="11">
        <f>'Occ T2'!H15</f>
        <v>10.053937867540389</v>
      </c>
      <c r="Q44" s="11">
        <f>'Occ T2'!J15</f>
        <v>20.529550127106315</v>
      </c>
    </row>
    <row r="45" spans="1:17">
      <c r="O45" s="10" t="str">
        <f>name!D12</f>
        <v>33 Protective service occupations</v>
      </c>
      <c r="P45" s="11">
        <f>'Occ T2'!H16</f>
        <v>-0.23539630392559019</v>
      </c>
      <c r="Q45" s="11">
        <f>'Occ T2'!J16</f>
        <v>1.213828403503918</v>
      </c>
    </row>
    <row r="46" spans="1:17">
      <c r="O46" s="10" t="str">
        <f>name!D13</f>
        <v>34 Culture, media and sports occupations</v>
      </c>
      <c r="P46" s="11">
        <f>'Occ T2'!H17</f>
        <v>-0.45375675075010058</v>
      </c>
      <c r="Q46" s="11">
        <f>'Occ T2'!J17</f>
        <v>2.7354455652122951</v>
      </c>
    </row>
    <row r="47" spans="1:17">
      <c r="O47" s="10" t="str">
        <f>name!D14</f>
        <v>35 Business and public service associate professionals</v>
      </c>
      <c r="P47" s="11">
        <f>'Occ T2'!H18</f>
        <v>1.613142520901345</v>
      </c>
      <c r="Q47" s="11">
        <f>'Occ T2'!J18</f>
        <v>14.978522377742626</v>
      </c>
    </row>
    <row r="48" spans="1:17">
      <c r="O48" s="10" t="str">
        <f>name!D15</f>
        <v>41 Administrative occupations</v>
      </c>
      <c r="P48" s="11">
        <f>'Occ T2'!H19</f>
        <v>0.92173963148113103</v>
      </c>
      <c r="Q48" s="11">
        <f>'Occ T2'!J19</f>
        <v>25.159164799661895</v>
      </c>
    </row>
    <row r="49" spans="15:17">
      <c r="O49" s="10" t="str">
        <f>name!D16</f>
        <v>42 Secretarial and related occupations</v>
      </c>
      <c r="P49" s="11">
        <f>'Occ T2'!H20</f>
        <v>-3.8728690186784727</v>
      </c>
      <c r="Q49" s="11">
        <f>'Occ T2'!J20</f>
        <v>0.12293059108701154</v>
      </c>
    </row>
    <row r="50" spans="15:17">
      <c r="O50" s="10" t="str">
        <f>name!D17</f>
        <v>51 Skilled agricultural and related trades</v>
      </c>
      <c r="P50" s="11">
        <f>'Occ T2'!H21</f>
        <v>0.34187206540108628</v>
      </c>
      <c r="Q50" s="11">
        <f>'Occ T2'!J21</f>
        <v>2.1369310777218109</v>
      </c>
    </row>
    <row r="51" spans="15:17">
      <c r="O51" s="10" t="str">
        <f>name!D18</f>
        <v>52 Skilled metal, electrical and electronic trades</v>
      </c>
      <c r="P51" s="11">
        <f>'Occ T2'!H22</f>
        <v>-2.3956919400202921</v>
      </c>
      <c r="Q51" s="11">
        <f>'Occ T2'!J22</f>
        <v>5.8932992847850389</v>
      </c>
    </row>
    <row r="52" spans="15:17">
      <c r="O52" s="10" t="str">
        <f>name!D19</f>
        <v>53 Skilled construction and building trades</v>
      </c>
      <c r="P52" s="11">
        <f>'Occ T2'!H23</f>
        <v>-3.0718921750692889</v>
      </c>
      <c r="Q52" s="11">
        <f>'Occ T2'!J23</f>
        <v>3.7038174570972782</v>
      </c>
    </row>
    <row r="53" spans="15:17">
      <c r="O53" s="10" t="str">
        <f>name!D20</f>
        <v>54 Textiles, printing and other skilled trades</v>
      </c>
      <c r="P53" s="11">
        <f>'Occ T2'!H24</f>
        <v>-0.34421132161091972</v>
      </c>
      <c r="Q53" s="11">
        <f>'Occ T2'!J24</f>
        <v>3.1576553167720327</v>
      </c>
    </row>
    <row r="54" spans="15:17">
      <c r="O54" s="10" t="str">
        <f>name!D21</f>
        <v>61 Caring personal service occupations</v>
      </c>
      <c r="P54" s="11">
        <f>'Occ T2'!H25</f>
        <v>5.4224209045557998</v>
      </c>
      <c r="Q54" s="11">
        <f>'Occ T2'!J25</f>
        <v>29.540835329875819</v>
      </c>
    </row>
    <row r="55" spans="15:17">
      <c r="O55" s="10" t="str">
        <f>name!D22</f>
        <v>62 Leisure, travel and related personal service occupations</v>
      </c>
      <c r="P55" s="11">
        <f>'Occ T2'!H26</f>
        <v>-0.76879720143824137</v>
      </c>
      <c r="Q55" s="11">
        <f>'Occ T2'!J26</f>
        <v>3.5882185505127211</v>
      </c>
    </row>
    <row r="56" spans="15:17">
      <c r="O56" s="10" t="str">
        <f>name!D23</f>
        <v>63 Community and civil enforcement occupations</v>
      </c>
      <c r="P56" s="11">
        <f>'Occ T2'!H27</f>
        <v>-7.1888798504818552E-2</v>
      </c>
      <c r="Q56" s="11">
        <f>'Occ T2'!J27</f>
        <v>0.10786367578946029</v>
      </c>
    </row>
    <row r="57" spans="15:17">
      <c r="O57" s="10" t="str">
        <f>name!D24</f>
        <v>71 Sales occupations</v>
      </c>
      <c r="P57" s="11">
        <f>'Occ T2'!H28</f>
        <v>-2.437590182482154</v>
      </c>
      <c r="Q57" s="11">
        <f>'Occ T2'!J28</f>
        <v>10.676502024010755</v>
      </c>
    </row>
    <row r="58" spans="15:17">
      <c r="O58" s="10" t="str">
        <f>name!D25</f>
        <v>72 Customer service occupations</v>
      </c>
      <c r="P58" s="11">
        <f>'Occ T2'!H29</f>
        <v>2.1788870457386089</v>
      </c>
      <c r="Q58" s="11">
        <f>'Occ T2'!J29</f>
        <v>6.8756896166416945</v>
      </c>
    </row>
    <row r="59" spans="15:17">
      <c r="O59" s="10" t="str">
        <f>name!D26</f>
        <v>81 Process, plant and machine operatives</v>
      </c>
      <c r="P59" s="11">
        <f>'Occ T2'!H30</f>
        <v>-0.86859262633460332</v>
      </c>
      <c r="Q59" s="11">
        <f>'Occ T2'!J30</f>
        <v>6.5689808694962144</v>
      </c>
    </row>
    <row r="60" spans="15:17">
      <c r="O60" s="10" t="str">
        <f>name!D27</f>
        <v>82 Transport and mobile machine drivers and operatives</v>
      </c>
      <c r="P60" s="11">
        <f>'Occ T2'!H31</f>
        <v>0.70995605294593744</v>
      </c>
      <c r="Q60" s="11">
        <f>'Occ T2'!J31</f>
        <v>12.74080536992976</v>
      </c>
    </row>
    <row r="61" spans="15:17">
      <c r="O61" s="10" t="str">
        <f>name!D28</f>
        <v>91 Elementary trades and related occupations</v>
      </c>
      <c r="P61" s="11">
        <f>'Occ T2'!H32</f>
        <v>7.8988926835633269</v>
      </c>
      <c r="Q61" s="11">
        <f>'Occ T2'!J32</f>
        <v>14.948853544263731</v>
      </c>
    </row>
    <row r="62" spans="15:17">
      <c r="O62" s="10" t="str">
        <f>name!D29</f>
        <v>92 Elementary administration and service occupations</v>
      </c>
      <c r="P62" s="11">
        <f>'Occ T2'!H33</f>
        <v>-8.2077738143163437</v>
      </c>
      <c r="Q62" s="11">
        <f>'Occ T2'!J33</f>
        <v>7.5402531883189106</v>
      </c>
    </row>
    <row r="63" spans="15:17">
      <c r="O63" s="10"/>
      <c r="P63" s="11"/>
      <c r="Q63" s="11"/>
    </row>
    <row r="64" spans="15:17">
      <c r="O64" s="10" t="str">
        <f>name!D3</f>
        <v>All occupations</v>
      </c>
      <c r="P64" s="11">
        <f>'Occ T2'!H35</f>
        <v>25.750000000000114</v>
      </c>
      <c r="Q64" s="11">
        <f>'Occ T2'!J35</f>
        <v>271.46821360686704</v>
      </c>
    </row>
    <row r="65" spans="15:15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>
      <c r="A1" s="18" t="str">
        <f>CONCATENATE("Basic Table 1  Employment by Industry Sector, Occupation Group and Qualification, ",B$5,"-",D$5,", ",Info!B5)</f>
        <v>Basic Table 1  Employment by Industry Sector, Occupation Group and Qualification, 2020-2035, Black Country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</row>
    <row r="2" spans="1:40" ht="12.75" customHeight="1">
      <c r="A2" s="159" t="s">
        <v>197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</row>
    <row r="3" spans="1:40" ht="12.75" customHeight="1">
      <c r="A3" s="18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  <c r="AM3" s="65"/>
      <c r="AN3" s="64" t="s">
        <v>112</v>
      </c>
    </row>
    <row r="4" spans="1:40" ht="24.75" customHeight="1">
      <c r="A4" s="372"/>
      <c r="B4" s="373" t="str">
        <f>name!F3</f>
        <v>All qualifications</v>
      </c>
      <c r="C4" s="373"/>
      <c r="D4" s="373"/>
      <c r="E4" s="372"/>
      <c r="F4" s="374" t="str">
        <f>name!F4</f>
        <v>RQF8 Doctorate</v>
      </c>
      <c r="G4" s="374"/>
      <c r="H4" s="374"/>
      <c r="I4" s="372"/>
      <c r="J4" s="374" t="str">
        <f>name!F5</f>
        <v>RQF7 Other higher degree</v>
      </c>
      <c r="K4" s="374"/>
      <c r="L4" s="374"/>
      <c r="M4" s="372"/>
      <c r="N4" s="374" t="str">
        <f>name!F6</f>
        <v>RQF6 First degree</v>
      </c>
      <c r="O4" s="374"/>
      <c r="P4" s="374"/>
      <c r="Q4" s="372"/>
      <c r="R4" s="374" t="str">
        <f>name!F7</f>
        <v>RQF5 Foundation degree;Nursing;Teaching</v>
      </c>
      <c r="S4" s="374"/>
      <c r="T4" s="374"/>
      <c r="U4" s="372"/>
      <c r="V4" s="374" t="str">
        <f>name!F8</f>
        <v>RQF4 HE below degree level</v>
      </c>
      <c r="W4" s="374"/>
      <c r="X4" s="374"/>
      <c r="Y4" s="372"/>
      <c r="Z4" s="374" t="str">
        <f>name!F9</f>
        <v>RQF3 A level &amp; equivalent</v>
      </c>
      <c r="AA4" s="374"/>
      <c r="AB4" s="374"/>
      <c r="AC4" s="372"/>
      <c r="AD4" s="374" t="str">
        <f>name!F10</f>
        <v>RQF2 GCSE(A-C) &amp; equivalent</v>
      </c>
      <c r="AE4" s="374"/>
      <c r="AF4" s="374"/>
      <c r="AG4" s="372"/>
      <c r="AH4" s="374" t="str">
        <f>name!F11</f>
        <v>RQF1 GCSE(below grade C) &amp; equivalent</v>
      </c>
      <c r="AI4" s="374"/>
      <c r="AJ4" s="374"/>
      <c r="AK4" s="372"/>
      <c r="AL4" s="374" t="str">
        <f>name!F12</f>
        <v>No Qualification</v>
      </c>
      <c r="AM4" s="374"/>
      <c r="AN4" s="374"/>
    </row>
    <row r="5" spans="1:40">
      <c r="A5" s="364"/>
      <c r="B5" s="33">
        <v>2020</v>
      </c>
      <c r="C5" s="33">
        <v>2025</v>
      </c>
      <c r="D5" s="33">
        <v>2035</v>
      </c>
      <c r="E5" s="364"/>
      <c r="F5" s="28">
        <f>B5</f>
        <v>2020</v>
      </c>
      <c r="G5" s="28">
        <f>C5</f>
        <v>2025</v>
      </c>
      <c r="H5" s="28">
        <f>D5</f>
        <v>2035</v>
      </c>
      <c r="I5" s="364"/>
      <c r="J5" s="28">
        <f>B5</f>
        <v>2020</v>
      </c>
      <c r="K5" s="28">
        <f>C5</f>
        <v>2025</v>
      </c>
      <c r="L5" s="28">
        <f>D5</f>
        <v>2035</v>
      </c>
      <c r="M5" s="364"/>
      <c r="N5" s="28">
        <f>B5</f>
        <v>2020</v>
      </c>
      <c r="O5" s="28">
        <f>C5</f>
        <v>2025</v>
      </c>
      <c r="P5" s="28">
        <f>D5</f>
        <v>2035</v>
      </c>
      <c r="Q5" s="364"/>
      <c r="R5" s="28">
        <f>F5</f>
        <v>2020</v>
      </c>
      <c r="S5" s="28">
        <f>G5</f>
        <v>2025</v>
      </c>
      <c r="T5" s="28">
        <f>H5</f>
        <v>2035</v>
      </c>
      <c r="U5" s="364"/>
      <c r="V5" s="28">
        <f>J5</f>
        <v>2020</v>
      </c>
      <c r="W5" s="28">
        <f>K5</f>
        <v>2025</v>
      </c>
      <c r="X5" s="28">
        <f>L5</f>
        <v>2035</v>
      </c>
      <c r="Y5" s="364"/>
      <c r="Z5" s="28">
        <f>N5</f>
        <v>2020</v>
      </c>
      <c r="AA5" s="28">
        <f>O5</f>
        <v>2025</v>
      </c>
      <c r="AB5" s="28">
        <f>P5</f>
        <v>2035</v>
      </c>
      <c r="AC5" s="364"/>
      <c r="AD5" s="28">
        <f>R5</f>
        <v>2020</v>
      </c>
      <c r="AE5" s="28">
        <f>S5</f>
        <v>2025</v>
      </c>
      <c r="AF5" s="28">
        <f>T5</f>
        <v>2035</v>
      </c>
      <c r="AG5" s="364"/>
      <c r="AH5" s="28">
        <f>V5</f>
        <v>2020</v>
      </c>
      <c r="AI5" s="28">
        <f>W5</f>
        <v>2025</v>
      </c>
      <c r="AJ5" s="28">
        <f>X5</f>
        <v>2035</v>
      </c>
      <c r="AK5" s="364"/>
      <c r="AL5" s="28">
        <f>Z5</f>
        <v>2020</v>
      </c>
      <c r="AM5" s="28">
        <f>AA5</f>
        <v>2025</v>
      </c>
      <c r="AN5" s="28">
        <f>AB5</f>
        <v>2035</v>
      </c>
    </row>
    <row r="7" spans="1:40">
      <c r="A7" s="1" t="str">
        <f>name!C3</f>
        <v>All industries</v>
      </c>
      <c r="B7" s="65"/>
      <c r="C7" s="65"/>
      <c r="D7" s="65"/>
      <c r="E7" s="165"/>
      <c r="F7" s="165"/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65"/>
      <c r="R7" s="165"/>
      <c r="S7" s="165"/>
      <c r="T7" s="165"/>
      <c r="U7" s="65"/>
      <c r="V7" s="165"/>
      <c r="W7" s="165"/>
      <c r="X7" s="165"/>
      <c r="Y7" s="65"/>
      <c r="Z7" s="165"/>
      <c r="AA7" s="165"/>
      <c r="AB7" s="165"/>
      <c r="AC7" s="65"/>
      <c r="AD7" s="165"/>
      <c r="AE7" s="165"/>
      <c r="AF7" s="165"/>
      <c r="AG7" s="65"/>
      <c r="AH7" s="165"/>
      <c r="AI7" s="165"/>
      <c r="AJ7" s="165"/>
      <c r="AK7" s="65"/>
      <c r="AL7" s="165"/>
      <c r="AM7" s="165"/>
      <c r="AN7" s="165"/>
    </row>
    <row r="8" spans="1:40">
      <c r="A8" s="65" t="str">
        <f>name!E3</f>
        <v>All occupations</v>
      </c>
      <c r="B8" s="375">
        <f>SUM(B9:B17)</f>
        <v>496.19399999999996</v>
      </c>
      <c r="C8" s="375">
        <f>SUM(C9:C17)</f>
        <v>508.12800000000004</v>
      </c>
      <c r="D8" s="375">
        <f>SUM(D9:D17)</f>
        <v>521.94399999999962</v>
      </c>
      <c r="E8" s="376"/>
      <c r="F8" s="375">
        <f>SUM(F9:F17)</f>
        <v>7.0915685334472105</v>
      </c>
      <c r="G8" s="375">
        <f>SUM(G9:G17)</f>
        <v>9.1694021499465528</v>
      </c>
      <c r="H8" s="375">
        <f>SUM(H9:H17)</f>
        <v>13.476587127561659</v>
      </c>
      <c r="I8" s="376"/>
      <c r="J8" s="375">
        <f>SUM(J9:J17)</f>
        <v>47.914110923791952</v>
      </c>
      <c r="K8" s="375">
        <f>SUM(K9:K17)</f>
        <v>60.818658304566455</v>
      </c>
      <c r="L8" s="375">
        <f>SUM(L9:L17)</f>
        <v>89.274782430541535</v>
      </c>
      <c r="M8" s="376"/>
      <c r="N8" s="375">
        <f>SUM(N9:N17)</f>
        <v>91.033181866654559</v>
      </c>
      <c r="O8" s="375">
        <f>SUM(O9:O17)</f>
        <v>97.545774606448248</v>
      </c>
      <c r="P8" s="375">
        <f>SUM(P9:P17)</f>
        <v>112.29678035556745</v>
      </c>
      <c r="Q8" s="377"/>
      <c r="R8" s="375">
        <f>SUM(R9:R17)</f>
        <v>27.828114439543285</v>
      </c>
      <c r="S8" s="375">
        <f>SUM(S9:S17)</f>
        <v>27.092094788061452</v>
      </c>
      <c r="T8" s="375">
        <f>SUM(T9:T17)</f>
        <v>29.363125462266954</v>
      </c>
      <c r="U8" s="377"/>
      <c r="V8" s="375">
        <f>SUM(V9:V17)</f>
        <v>26.960304923339162</v>
      </c>
      <c r="W8" s="375">
        <f>SUM(W9:W17)</f>
        <v>27.933787823735216</v>
      </c>
      <c r="X8" s="375">
        <f>SUM(X9:X17)</f>
        <v>31.755382202989345</v>
      </c>
      <c r="Y8" s="377"/>
      <c r="Z8" s="375">
        <f>SUM(Z9:Z17)</f>
        <v>104.4539001390763</v>
      </c>
      <c r="AA8" s="375">
        <f>SUM(AA9:AA17)</f>
        <v>109.27689045318864</v>
      </c>
      <c r="AB8" s="375">
        <f>SUM(AB9:AB17)</f>
        <v>110.3107018159522</v>
      </c>
      <c r="AC8" s="377"/>
      <c r="AD8" s="375">
        <f>SUM(AD9:AD17)</f>
        <v>99.097694185079135</v>
      </c>
      <c r="AE8" s="375">
        <f>SUM(AE9:AE17)</f>
        <v>104.59848858249424</v>
      </c>
      <c r="AF8" s="375">
        <f>SUM(AF9:AF17)</f>
        <v>91.393991461314428</v>
      </c>
      <c r="AG8" s="377"/>
      <c r="AH8" s="375">
        <f>SUM(AH9:AH17)</f>
        <v>60.025143488041742</v>
      </c>
      <c r="AI8" s="375">
        <f>SUM(AI9:AI17)</f>
        <v>51.7814561727754</v>
      </c>
      <c r="AJ8" s="375">
        <f>SUM(AJ9:AJ17)</f>
        <v>31.922824506490006</v>
      </c>
      <c r="AK8" s="377"/>
      <c r="AL8" s="375">
        <f>SUM(AL9:AL17)</f>
        <v>31.789981501026595</v>
      </c>
      <c r="AM8" s="375">
        <f>SUM(AM9:AM17)</f>
        <v>19.911447118783808</v>
      </c>
      <c r="AN8" s="375">
        <f>SUM(AN9:AN17)</f>
        <v>12.149824637316083</v>
      </c>
    </row>
    <row r="9" spans="1:40">
      <c r="A9" s="65" t="str">
        <f>name!E4</f>
        <v>Managers, directors and senior officials</v>
      </c>
      <c r="B9" s="376">
        <f>SUM(B21,B33,B51,B63,B75,B93)</f>
        <v>47.800367492375877</v>
      </c>
      <c r="C9" s="376">
        <f t="shared" ref="B9:D17" si="0">SUM(C21,C33,C51,C63,C75,C93)</f>
        <v>44.836824250943295</v>
      </c>
      <c r="D9" s="376">
        <f t="shared" si="0"/>
        <v>49.226179286534183</v>
      </c>
      <c r="E9" s="376"/>
      <c r="F9" s="376">
        <f t="shared" ref="F9:H17" si="1">SUM(F21,F33,F51,F63,F75,F93)</f>
        <v>0.53314682451479967</v>
      </c>
      <c r="G9" s="376">
        <f t="shared" si="1"/>
        <v>0.64584592004733177</v>
      </c>
      <c r="H9" s="376">
        <f t="shared" si="1"/>
        <v>1.0226849632738422</v>
      </c>
      <c r="I9" s="376"/>
      <c r="J9" s="376">
        <f t="shared" ref="J9:L17" si="2">SUM(J21,J33,J51,J63,J75,J93)</f>
        <v>5.1112366327851504</v>
      </c>
      <c r="K9" s="376">
        <f t="shared" si="2"/>
        <v>5.9713995144148662</v>
      </c>
      <c r="L9" s="376">
        <f t="shared" si="2"/>
        <v>9.1824859706475284</v>
      </c>
      <c r="M9" s="376"/>
      <c r="N9" s="376">
        <f t="shared" ref="N9:P17" si="3">SUM(N21,N33,N51,N63,N75,N93)</f>
        <v>11.934290254809422</v>
      </c>
      <c r="O9" s="376">
        <f t="shared" si="3"/>
        <v>11.493010352316283</v>
      </c>
      <c r="P9" s="376">
        <f t="shared" si="3"/>
        <v>13.311565206295263</v>
      </c>
      <c r="Q9" s="377"/>
      <c r="R9" s="376">
        <f t="shared" ref="R9:T9" si="4">SUM(R21,R33,R51,R63,R75,R93)</f>
        <v>2.7627617087065159</v>
      </c>
      <c r="S9" s="376">
        <f t="shared" si="4"/>
        <v>2.5367267438392949</v>
      </c>
      <c r="T9" s="376">
        <f t="shared" si="4"/>
        <v>2.8742882181858462</v>
      </c>
      <c r="U9" s="377"/>
      <c r="V9" s="376">
        <f t="shared" ref="V9:X9" si="5">SUM(V21,V33,V51,V63,V75,V93)</f>
        <v>3.5976264055012805</v>
      </c>
      <c r="W9" s="376">
        <f t="shared" si="5"/>
        <v>3.2681199307454514</v>
      </c>
      <c r="X9" s="376">
        <f t="shared" si="5"/>
        <v>3.5757669825834117</v>
      </c>
      <c r="Y9" s="377"/>
      <c r="Z9" s="376">
        <f t="shared" ref="Z9:AB9" si="6">SUM(Z21,Z33,Z51,Z63,Z75,Z93)</f>
        <v>8.9023897523099791</v>
      </c>
      <c r="AA9" s="376">
        <f t="shared" si="6"/>
        <v>8.2086763456073335</v>
      </c>
      <c r="AB9" s="376">
        <f t="shared" si="6"/>
        <v>8.8049661027513437</v>
      </c>
      <c r="AC9" s="377"/>
      <c r="AD9" s="376">
        <f>SUM(AD21,AD33,AD51,AD63,AD75,AD93)</f>
        <v>7.6137044083628203</v>
      </c>
      <c r="AE9" s="376">
        <f t="shared" ref="AE9:AF9" si="7">SUM(AE21,AE33,AE51,AE63,AE75,AE93)</f>
        <v>7.10368553638716</v>
      </c>
      <c r="AF9" s="376">
        <f t="shared" si="7"/>
        <v>6.3946261263205644</v>
      </c>
      <c r="AG9" s="377"/>
      <c r="AH9" s="376">
        <f t="shared" ref="AH9:AJ9" si="8">SUM(AH21,AH33,AH51,AH63,AH75,AH93)</f>
        <v>5.4238218704798271</v>
      </c>
      <c r="AI9" s="376">
        <f t="shared" si="8"/>
        <v>4.3251098727824075</v>
      </c>
      <c r="AJ9" s="376">
        <f t="shared" si="8"/>
        <v>3.0843681056490238</v>
      </c>
      <c r="AK9" s="377"/>
      <c r="AL9" s="376">
        <f t="shared" ref="AL9:AN9" si="9">SUM(AL21,AL33,AL51,AL63,AL75,AL93)</f>
        <v>1.9213896349060811</v>
      </c>
      <c r="AM9" s="376">
        <f t="shared" si="9"/>
        <v>1.2842500348031718</v>
      </c>
      <c r="AN9" s="376">
        <f t="shared" si="9"/>
        <v>0.97542761082735685</v>
      </c>
    </row>
    <row r="10" spans="1:40">
      <c r="A10" s="65" t="str">
        <f>name!E5</f>
        <v>Professional occupations</v>
      </c>
      <c r="B10" s="376">
        <f t="shared" si="0"/>
        <v>103.5438332396885</v>
      </c>
      <c r="C10" s="376">
        <f t="shared" si="0"/>
        <v>109.96238805392812</v>
      </c>
      <c r="D10" s="376">
        <f t="shared" si="0"/>
        <v>121.73921749855069</v>
      </c>
      <c r="E10" s="376"/>
      <c r="F10" s="376">
        <f t="shared" si="1"/>
        <v>5.3714807587830409</v>
      </c>
      <c r="G10" s="376">
        <f t="shared" si="1"/>
        <v>6.897252490464842</v>
      </c>
      <c r="H10" s="376">
        <f t="shared" si="1"/>
        <v>9.723126222159177</v>
      </c>
      <c r="I10" s="376"/>
      <c r="J10" s="376">
        <f t="shared" si="2"/>
        <v>26.883796985110788</v>
      </c>
      <c r="K10" s="376">
        <f t="shared" si="2"/>
        <v>33.036351616541964</v>
      </c>
      <c r="L10" s="376">
        <f t="shared" si="2"/>
        <v>44.888363952047754</v>
      </c>
      <c r="M10" s="376"/>
      <c r="N10" s="376">
        <f t="shared" si="3"/>
        <v>33.659036722005396</v>
      </c>
      <c r="O10" s="376">
        <f t="shared" si="3"/>
        <v>33.630267022542796</v>
      </c>
      <c r="P10" s="376">
        <f t="shared" si="3"/>
        <v>34.142453535262923</v>
      </c>
      <c r="Q10" s="377"/>
      <c r="R10" s="376">
        <f t="shared" ref="R10:T10" si="10">SUM(R22,R34,R52,R64,R76,R94)</f>
        <v>5.8205981774694155</v>
      </c>
      <c r="S10" s="376">
        <f t="shared" si="10"/>
        <v>4.0305097407128949</v>
      </c>
      <c r="T10" s="376">
        <f t="shared" si="10"/>
        <v>2.9979807781077512</v>
      </c>
      <c r="U10" s="377"/>
      <c r="V10" s="376">
        <f t="shared" ref="V10:X10" si="11">SUM(V22,V34,V52,V64,V76,V94)</f>
        <v>5.0505706425827261</v>
      </c>
      <c r="W10" s="376">
        <f t="shared" si="11"/>
        <v>5.1689283322644917</v>
      </c>
      <c r="X10" s="376">
        <f t="shared" si="11"/>
        <v>5.3045118808435205</v>
      </c>
      <c r="Y10" s="377"/>
      <c r="Z10" s="376">
        <f t="shared" ref="Z10:AB10" si="12">SUM(Z22,Z34,Z52,Z64,Z76,Z94)</f>
        <v>12.043434625561943</v>
      </c>
      <c r="AA10" s="376">
        <f t="shared" si="12"/>
        <v>12.981400214676214</v>
      </c>
      <c r="AB10" s="376">
        <f t="shared" si="12"/>
        <v>13.522669087996604</v>
      </c>
      <c r="AC10" s="377"/>
      <c r="AD10" s="376">
        <f t="shared" ref="AD10:AF10" si="13">SUM(AD22,AD34,AD52,AD64,AD76,AD94)</f>
        <v>8.1918948714004891</v>
      </c>
      <c r="AE10" s="376">
        <f t="shared" si="13"/>
        <v>8.6228707139416798</v>
      </c>
      <c r="AF10" s="376">
        <f t="shared" si="13"/>
        <v>7.4204116250592467</v>
      </c>
      <c r="AG10" s="377"/>
      <c r="AH10" s="376">
        <f t="shared" ref="AH10:AJ10" si="14">SUM(AH22,AH34,AH52,AH64,AH76,AH94)</f>
        <v>4.7524431669654721</v>
      </c>
      <c r="AI10" s="376">
        <f t="shared" si="14"/>
        <v>4.2500135670214378</v>
      </c>
      <c r="AJ10" s="376">
        <f t="shared" si="14"/>
        <v>2.6644361539438712</v>
      </c>
      <c r="AK10" s="377"/>
      <c r="AL10" s="376">
        <f t="shared" ref="AL10:AN10" si="15">SUM(AL22,AL34,AL52,AL64,AL76,AL94)</f>
        <v>1.7705772898092138</v>
      </c>
      <c r="AM10" s="376">
        <f t="shared" si="15"/>
        <v>1.344794355761789</v>
      </c>
      <c r="AN10" s="376">
        <f t="shared" si="15"/>
        <v>1.0752642631298253</v>
      </c>
    </row>
    <row r="11" spans="1:40">
      <c r="A11" s="65" t="str">
        <f>name!E6</f>
        <v>Associate professional occupations</v>
      </c>
      <c r="B11" s="376">
        <f>SUM(B23,B35,B53,B65,B77,B95)</f>
        <v>60.815602010650572</v>
      </c>
      <c r="C11" s="376">
        <f t="shared" si="0"/>
        <v>65.15905076756583</v>
      </c>
      <c r="D11" s="376">
        <f>SUM(D23,D35,D53,D65,D77,D95)</f>
        <v>71.509944652399099</v>
      </c>
      <c r="E11" s="376"/>
      <c r="F11" s="376">
        <f t="shared" si="1"/>
        <v>0.59641013872201476</v>
      </c>
      <c r="G11" s="376">
        <f t="shared" si="1"/>
        <v>0.79474792188211363</v>
      </c>
      <c r="H11" s="376">
        <f t="shared" si="1"/>
        <v>1.323242422145728</v>
      </c>
      <c r="I11" s="376"/>
      <c r="J11" s="376">
        <f t="shared" si="2"/>
        <v>7.1715551210041575</v>
      </c>
      <c r="K11" s="376">
        <f t="shared" si="2"/>
        <v>9.5676809614301224</v>
      </c>
      <c r="L11" s="376">
        <f t="shared" si="2"/>
        <v>14.978726735205548</v>
      </c>
      <c r="M11" s="376"/>
      <c r="N11" s="376">
        <f t="shared" si="3"/>
        <v>16.53865330536895</v>
      </c>
      <c r="O11" s="376">
        <f t="shared" si="3"/>
        <v>18.528162786181795</v>
      </c>
      <c r="P11" s="376">
        <f t="shared" si="3"/>
        <v>21.517251742874599</v>
      </c>
      <c r="Q11" s="377"/>
      <c r="R11" s="376">
        <f t="shared" ref="R11:T11" si="16">SUM(R23,R35,R53,R65,R77,R95)</f>
        <v>5.1461363249057079</v>
      </c>
      <c r="S11" s="376">
        <f t="shared" si="16"/>
        <v>5.3538854172718295</v>
      </c>
      <c r="T11" s="376">
        <f t="shared" si="16"/>
        <v>5.1670326030842597</v>
      </c>
      <c r="U11" s="377"/>
      <c r="V11" s="376">
        <f t="shared" ref="V11:X11" si="17">SUM(V23,V35,V53,V65,V77,V95)</f>
        <v>4.0339402376666484</v>
      </c>
      <c r="W11" s="376">
        <f t="shared" si="17"/>
        <v>3.9895907180050516</v>
      </c>
      <c r="X11" s="376">
        <f t="shared" si="17"/>
        <v>4.3620091830076717</v>
      </c>
      <c r="Y11" s="377"/>
      <c r="Z11" s="376">
        <f t="shared" ref="Z11:AB11" si="18">SUM(Z23,Z35,Z53,Z65,Z77,Z95)</f>
        <v>11.511604881640391</v>
      </c>
      <c r="AA11" s="376">
        <f t="shared" si="18"/>
        <v>12.215971753147791</v>
      </c>
      <c r="AB11" s="376">
        <f t="shared" si="18"/>
        <v>12.391868009337266</v>
      </c>
      <c r="AC11" s="377"/>
      <c r="AD11" s="376">
        <f t="shared" ref="AD11:AF11" si="19">SUM(AD23,AD35,AD53,AD65,AD77,AD95)</f>
        <v>8.8501690265717627</v>
      </c>
      <c r="AE11" s="376">
        <f t="shared" si="19"/>
        <v>9.2796655077341565</v>
      </c>
      <c r="AF11" s="376">
        <f t="shared" si="19"/>
        <v>7.99497244332969</v>
      </c>
      <c r="AG11" s="377"/>
      <c r="AH11" s="376">
        <f t="shared" ref="AH11:AJ11" si="20">SUM(AH23,AH35,AH53,AH65,AH77,AH95)</f>
        <v>5.1283040620878353</v>
      </c>
      <c r="AI11" s="376">
        <f t="shared" si="20"/>
        <v>4.1668321005105975</v>
      </c>
      <c r="AJ11" s="376">
        <f t="shared" si="20"/>
        <v>2.6373422980643442</v>
      </c>
      <c r="AK11" s="377"/>
      <c r="AL11" s="376">
        <f t="shared" ref="AL11:AN11" si="21">SUM(AL23,AL35,AL53,AL65,AL77,AL95)</f>
        <v>1.838828912683111</v>
      </c>
      <c r="AM11" s="376">
        <f t="shared" si="21"/>
        <v>1.2625136014023717</v>
      </c>
      <c r="AN11" s="376">
        <f t="shared" si="21"/>
        <v>1.1374992153499952</v>
      </c>
    </row>
    <row r="12" spans="1:40">
      <c r="A12" s="65" t="str">
        <f>name!E7</f>
        <v>Administrative and secretarial occupations</v>
      </c>
      <c r="B12" s="376">
        <f t="shared" si="0"/>
        <v>56.478400283214569</v>
      </c>
      <c r="C12" s="376">
        <f t="shared" si="0"/>
        <v>57.502694930725816</v>
      </c>
      <c r="D12" s="376">
        <f t="shared" si="0"/>
        <v>53.527270896017214</v>
      </c>
      <c r="E12" s="376"/>
      <c r="F12" s="376">
        <f t="shared" si="1"/>
        <v>0.29995564992565082</v>
      </c>
      <c r="G12" s="376">
        <f t="shared" si="1"/>
        <v>0.41502755789214729</v>
      </c>
      <c r="H12" s="376">
        <f t="shared" si="1"/>
        <v>0.69301122187727904</v>
      </c>
      <c r="I12" s="376"/>
      <c r="J12" s="376">
        <f t="shared" si="2"/>
        <v>3.3864749517445967</v>
      </c>
      <c r="K12" s="376">
        <f t="shared" si="2"/>
        <v>4.5504843599110796</v>
      </c>
      <c r="L12" s="376">
        <f t="shared" si="2"/>
        <v>6.343769432381472</v>
      </c>
      <c r="M12" s="376"/>
      <c r="N12" s="376">
        <f t="shared" si="3"/>
        <v>10.567245201680016</v>
      </c>
      <c r="O12" s="376">
        <f t="shared" si="3"/>
        <v>12.191704306524066</v>
      </c>
      <c r="P12" s="376">
        <f t="shared" si="3"/>
        <v>14.685942974415624</v>
      </c>
      <c r="Q12" s="377"/>
      <c r="R12" s="376">
        <f t="shared" ref="R12:T12" si="22">SUM(R24,R36,R54,R66,R78,R96)</f>
        <v>4.1342746836373365</v>
      </c>
      <c r="S12" s="376">
        <f t="shared" si="22"/>
        <v>4.5377357806294309</v>
      </c>
      <c r="T12" s="376">
        <f t="shared" si="22"/>
        <v>5.3094783169031281</v>
      </c>
      <c r="U12" s="377"/>
      <c r="V12" s="376">
        <f t="shared" ref="V12:X12" si="23">SUM(V24,V36,V54,V66,V78,V96)</f>
        <v>3.7438176247319581</v>
      </c>
      <c r="W12" s="376">
        <f t="shared" si="23"/>
        <v>3.941786249177671</v>
      </c>
      <c r="X12" s="376">
        <f t="shared" si="23"/>
        <v>4.4812237587018098</v>
      </c>
      <c r="Y12" s="377"/>
      <c r="Z12" s="376">
        <f t="shared" ref="Z12:AA12" si="24">SUM(Z24,Z36,Z54,Z66,Z78,Z96)</f>
        <v>11.668258959509384</v>
      </c>
      <c r="AA12" s="376">
        <f t="shared" si="24"/>
        <v>11.864457228126883</v>
      </c>
      <c r="AB12" s="376">
        <f>SUM(AB24,AB36,AB54,AB66,AB78,AB96)</f>
        <v>9.8002187706488311</v>
      </c>
      <c r="AC12" s="377"/>
      <c r="AD12" s="376">
        <f t="shared" ref="AD12:AE12" si="25">SUM(AD24,AD36,AD54,AD66,AD78,AD96)</f>
        <v>13.411449004935948</v>
      </c>
      <c r="AE12" s="376">
        <f t="shared" si="25"/>
        <v>13.231753702602754</v>
      </c>
      <c r="AF12" s="376">
        <f>SUM(AF24,AF36,AF54,AF66,AF78,AF96)</f>
        <v>9.2793783447232112</v>
      </c>
      <c r="AG12" s="377"/>
      <c r="AH12" s="376">
        <f t="shared" ref="AH12:AI12" si="26">SUM(AH24,AH36,AH54,AH66,AH78,AH96)</f>
        <v>6.5830633731027124</v>
      </c>
      <c r="AI12" s="376">
        <f t="shared" si="26"/>
        <v>4.8606207461429918</v>
      </c>
      <c r="AJ12" s="376">
        <f>SUM(AJ24,AJ36,AJ54,AJ66,AJ78,AJ96)</f>
        <v>1.534968193295974</v>
      </c>
      <c r="AK12" s="377"/>
      <c r="AL12" s="376">
        <f t="shared" ref="AL12:AM12" si="27">SUM(AL24,AL36,AL54,AL66,AL78,AL96)</f>
        <v>2.6838608339469658</v>
      </c>
      <c r="AM12" s="376">
        <f t="shared" si="27"/>
        <v>1.9091249997187929</v>
      </c>
      <c r="AN12" s="376">
        <f>SUM(AN24,AN36,AN54,AN66,AN78,AN96)</f>
        <v>1.3992798830698803</v>
      </c>
    </row>
    <row r="13" spans="1:40">
      <c r="A13" s="65" t="str">
        <f>name!E8</f>
        <v>Skilled trades occupations</v>
      </c>
      <c r="B13" s="376">
        <f t="shared" si="0"/>
        <v>52.232847099052982</v>
      </c>
      <c r="C13" s="376">
        <f t="shared" si="0"/>
        <v>51.034079797086505</v>
      </c>
      <c r="D13" s="376">
        <f t="shared" si="0"/>
        <v>46.762923727753574</v>
      </c>
      <c r="E13" s="376"/>
      <c r="F13" s="376">
        <f t="shared" si="1"/>
        <v>5.2480588730161384E-2</v>
      </c>
      <c r="G13" s="376">
        <f t="shared" si="1"/>
        <v>7.0020202958877661E-2</v>
      </c>
      <c r="H13" s="376">
        <f t="shared" si="1"/>
        <v>9.7209394709024843E-2</v>
      </c>
      <c r="I13" s="376"/>
      <c r="J13" s="376">
        <f t="shared" si="2"/>
        <v>0.84091318727945419</v>
      </c>
      <c r="K13" s="376">
        <f t="shared" si="2"/>
        <v>1.191256249949957</v>
      </c>
      <c r="L13" s="376">
        <f t="shared" si="2"/>
        <v>1.857417563770648</v>
      </c>
      <c r="M13" s="376"/>
      <c r="N13" s="376">
        <f t="shared" si="3"/>
        <v>2.4332829361245967</v>
      </c>
      <c r="O13" s="376">
        <f t="shared" si="3"/>
        <v>2.8514927337409537</v>
      </c>
      <c r="P13" s="376">
        <f t="shared" si="3"/>
        <v>3.4786046990550283</v>
      </c>
      <c r="Q13" s="377"/>
      <c r="R13" s="376">
        <f t="shared" ref="R13:T13" si="28">SUM(R25,R37,R55,R67,R79,R97)</f>
        <v>1.1368674248024895</v>
      </c>
      <c r="S13" s="376">
        <f t="shared" si="28"/>
        <v>1.2619098809632598</v>
      </c>
      <c r="T13" s="376">
        <f t="shared" si="28"/>
        <v>1.5159837937321254</v>
      </c>
      <c r="U13" s="377"/>
      <c r="V13" s="376">
        <f t="shared" ref="V13:X13" si="29">SUM(V25,V37,V55,V67,V79,V97)</f>
        <v>2.8869783145060639</v>
      </c>
      <c r="W13" s="376">
        <f t="shared" si="29"/>
        <v>3.0724187786964121</v>
      </c>
      <c r="X13" s="376">
        <f t="shared" si="29"/>
        <v>3.4845466235911653</v>
      </c>
      <c r="Y13" s="377"/>
      <c r="Z13" s="376">
        <f t="shared" ref="Z13:AB13" si="30">SUM(Z25,Z37,Z55,Z67,Z79,Z97)</f>
        <v>17.936609314913074</v>
      </c>
      <c r="AA13" s="376">
        <f t="shared" si="30"/>
        <v>18.255936195639308</v>
      </c>
      <c r="AB13" s="376">
        <f t="shared" si="30"/>
        <v>17.318331190686614</v>
      </c>
      <c r="AC13" s="377"/>
      <c r="AD13" s="376">
        <f t="shared" ref="AD13:AF13" si="31">SUM(AD25,AD37,AD55,AD67,AD79,AD97)</f>
        <v>14.095223007379982</v>
      </c>
      <c r="AE13" s="376">
        <f t="shared" si="31"/>
        <v>14.798337704146231</v>
      </c>
      <c r="AF13" s="376">
        <f t="shared" si="31"/>
        <v>13.276195704222006</v>
      </c>
      <c r="AG13" s="377"/>
      <c r="AH13" s="376">
        <f t="shared" ref="AH13:AJ13" si="32">SUM(AH25,AH37,AH55,AH67,AH79,AH97)</f>
        <v>7.7751008389280143</v>
      </c>
      <c r="AI13" s="376">
        <f t="shared" si="32"/>
        <v>6.6856023565025735</v>
      </c>
      <c r="AJ13" s="376">
        <f t="shared" si="32"/>
        <v>4.4437179153205308</v>
      </c>
      <c r="AK13" s="377"/>
      <c r="AL13" s="376">
        <f t="shared" ref="AL13:AN13" si="33">SUM(AL25,AL37,AL55,AL67,AL79,AL97)</f>
        <v>5.0753914863891394</v>
      </c>
      <c r="AM13" s="376">
        <f t="shared" si="33"/>
        <v>2.8471056944889335</v>
      </c>
      <c r="AN13" s="376">
        <f t="shared" si="33"/>
        <v>1.2909168426664239</v>
      </c>
    </row>
    <row r="14" spans="1:40">
      <c r="A14" s="65" t="str">
        <f>name!E9</f>
        <v>Caring, leisure and other service occupations</v>
      </c>
      <c r="B14" s="376">
        <f t="shared" si="0"/>
        <v>49.337956426134419</v>
      </c>
      <c r="C14" s="376">
        <f t="shared" si="0"/>
        <v>50.297533097424612</v>
      </c>
      <c r="D14" s="376">
        <f t="shared" si="0"/>
        <v>53.919691330747149</v>
      </c>
      <c r="E14" s="376"/>
      <c r="F14" s="376">
        <f t="shared" si="1"/>
        <v>4.5874008041012534E-2</v>
      </c>
      <c r="G14" s="376">
        <f t="shared" si="1"/>
        <v>6.3574276098055299E-2</v>
      </c>
      <c r="H14" s="376">
        <f t="shared" si="1"/>
        <v>0.11172085738503693</v>
      </c>
      <c r="I14" s="376"/>
      <c r="J14" s="376">
        <f t="shared" si="2"/>
        <v>1.8959100167206921</v>
      </c>
      <c r="K14" s="376">
        <f t="shared" si="2"/>
        <v>2.6654106702259313</v>
      </c>
      <c r="L14" s="376">
        <f t="shared" si="2"/>
        <v>5.0361647543834005</v>
      </c>
      <c r="M14" s="376"/>
      <c r="N14" s="376">
        <f t="shared" si="3"/>
        <v>6.0898823651585721</v>
      </c>
      <c r="O14" s="376">
        <f t="shared" si="3"/>
        <v>6.9850775969272441</v>
      </c>
      <c r="P14" s="376">
        <f t="shared" si="3"/>
        <v>9.1703331814044198</v>
      </c>
      <c r="Q14" s="377"/>
      <c r="R14" s="376">
        <f>SUM(R26,R38,R56,R68,R80,R98)</f>
        <v>4.8476116953879052</v>
      </c>
      <c r="S14" s="376">
        <f t="shared" ref="S14:T14" si="34">SUM(S26,S38,S56,S68,S80,S98)</f>
        <v>4.6669513846304378</v>
      </c>
      <c r="T14" s="376">
        <f t="shared" si="34"/>
        <v>5.3076762227717236</v>
      </c>
      <c r="U14" s="377"/>
      <c r="V14" s="376">
        <f t="shared" ref="V14:X14" si="35">SUM(V26,V38,V56,V68,V80,V98)</f>
        <v>3.0839072202377098</v>
      </c>
      <c r="W14" s="376">
        <f t="shared" si="35"/>
        <v>3.0736263317364374</v>
      </c>
      <c r="X14" s="376">
        <f t="shared" si="35"/>
        <v>3.695846594688418</v>
      </c>
      <c r="Y14" s="377"/>
      <c r="Z14" s="376">
        <f t="shared" ref="Z14:AB14" si="36">SUM(Z26,Z38,Z56,Z68,Z80,Z98)</f>
        <v>16.702967886031875</v>
      </c>
      <c r="AA14" s="376">
        <f t="shared" si="36"/>
        <v>17.427875921003256</v>
      </c>
      <c r="AB14" s="376">
        <f t="shared" si="36"/>
        <v>18.4571558843693</v>
      </c>
      <c r="AC14" s="377"/>
      <c r="AD14" s="376">
        <f t="shared" ref="AD14:AF14" si="37">SUM(AD26,AD38,AD56,AD68,AD80,AD98)</f>
        <v>12.419693515844006</v>
      </c>
      <c r="AE14" s="376">
        <f t="shared" si="37"/>
        <v>12.349626628636106</v>
      </c>
      <c r="AF14" s="376">
        <f t="shared" si="37"/>
        <v>10.084400621228196</v>
      </c>
      <c r="AG14" s="377"/>
      <c r="AH14" s="376">
        <f t="shared" ref="AH14:AJ14" si="38">SUM(AH26,AH38,AH56,AH68,AH80,AH98)</f>
        <v>2.952205715215519</v>
      </c>
      <c r="AI14" s="376">
        <f t="shared" si="38"/>
        <v>2.2552906548798148</v>
      </c>
      <c r="AJ14" s="376">
        <f t="shared" si="38"/>
        <v>1.5274627932483023</v>
      </c>
      <c r="AK14" s="377"/>
      <c r="AL14" s="376">
        <f t="shared" ref="AL14:AN14" si="39">SUM(AL26,AL38,AL56,AL68,AL80,AL98)</f>
        <v>1.2999040034971312</v>
      </c>
      <c r="AM14" s="376">
        <f t="shared" si="39"/>
        <v>0.81009963328732604</v>
      </c>
      <c r="AN14" s="376">
        <f t="shared" si="39"/>
        <v>0.52893042126835343</v>
      </c>
    </row>
    <row r="15" spans="1:40">
      <c r="A15" s="65" t="str">
        <f>name!E10</f>
        <v>Sales and customer service occupations</v>
      </c>
      <c r="B15" s="376">
        <f t="shared" si="0"/>
        <v>39.339785940793099</v>
      </c>
      <c r="C15" s="376">
        <f t="shared" si="0"/>
        <v>39.372468047859513</v>
      </c>
      <c r="D15" s="376">
        <f t="shared" si="0"/>
        <v>39.081082804049572</v>
      </c>
      <c r="E15" s="376"/>
      <c r="F15" s="376">
        <f t="shared" si="1"/>
        <v>8.5681588323921101E-2</v>
      </c>
      <c r="G15" s="376">
        <f t="shared" si="1"/>
        <v>0.12006665077065093</v>
      </c>
      <c r="H15" s="376">
        <f t="shared" si="1"/>
        <v>0.19455022682460896</v>
      </c>
      <c r="I15" s="376"/>
      <c r="J15" s="376">
        <f t="shared" si="2"/>
        <v>1.3394876143691146</v>
      </c>
      <c r="K15" s="376">
        <f t="shared" si="2"/>
        <v>1.8762547012150828</v>
      </c>
      <c r="L15" s="376">
        <f t="shared" si="2"/>
        <v>3.2681943327860803</v>
      </c>
      <c r="M15" s="376"/>
      <c r="N15" s="376">
        <f t="shared" si="3"/>
        <v>5.3648499109410466</v>
      </c>
      <c r="O15" s="376">
        <f t="shared" si="3"/>
        <v>6.0523285248226184</v>
      </c>
      <c r="P15" s="376">
        <f t="shared" si="3"/>
        <v>7.8947348099243424</v>
      </c>
      <c r="Q15" s="377"/>
      <c r="R15" s="376">
        <f t="shared" ref="R15:T15" si="40">SUM(R27,R39,R57,R69,R81,R99)</f>
        <v>1.7815931584141573</v>
      </c>
      <c r="S15" s="376">
        <f t="shared" si="40"/>
        <v>1.9025059534584778</v>
      </c>
      <c r="T15" s="376">
        <f t="shared" si="40"/>
        <v>2.4304582774908181</v>
      </c>
      <c r="U15" s="377"/>
      <c r="V15" s="376">
        <f t="shared" ref="V15:X15" si="41">SUM(V27,V39,V57,V69,V81,V99)</f>
        <v>1.7856534024935495</v>
      </c>
      <c r="W15" s="376">
        <f t="shared" si="41"/>
        <v>1.9019397472056374</v>
      </c>
      <c r="X15" s="376">
        <f t="shared" si="41"/>
        <v>2.2650692075151229</v>
      </c>
      <c r="Y15" s="377"/>
      <c r="Z15" s="376">
        <f t="shared" ref="Z15:AB15" si="42">SUM(Z27,Z39,Z57,Z69,Z81,Z99)</f>
        <v>9.9707378775085029</v>
      </c>
      <c r="AA15" s="376">
        <f t="shared" si="42"/>
        <v>10.524873026842751</v>
      </c>
      <c r="AB15" s="376">
        <f t="shared" si="42"/>
        <v>10.800350335851929</v>
      </c>
      <c r="AC15" s="377"/>
      <c r="AD15" s="376">
        <f t="shared" ref="AD15:AF15" si="43">SUM(AD27,AD39,AD57,AD69,AD81,AD99)</f>
        <v>9.6695113460129676</v>
      </c>
      <c r="AE15" s="376">
        <f t="shared" si="43"/>
        <v>10.054283673466561</v>
      </c>
      <c r="AF15" s="376">
        <f t="shared" si="43"/>
        <v>8.5683251197632888</v>
      </c>
      <c r="AG15" s="377"/>
      <c r="AH15" s="376">
        <f t="shared" ref="AH15:AJ15" si="44">SUM(AH27,AH39,AH57,AH69,AH81,AH99)</f>
        <v>5.8345108631323903</v>
      </c>
      <c r="AI15" s="376">
        <f t="shared" si="44"/>
        <v>4.8209018028478337</v>
      </c>
      <c r="AJ15" s="376">
        <f t="shared" si="44"/>
        <v>2.4111333932969954</v>
      </c>
      <c r="AK15" s="377"/>
      <c r="AL15" s="376">
        <f t="shared" ref="AL15:AN15" si="45">SUM(AL27,AL39,AL57,AL69,AL81,AL99)</f>
        <v>3.5077601795974513</v>
      </c>
      <c r="AM15" s="376">
        <f t="shared" si="45"/>
        <v>2.1193139672299024</v>
      </c>
      <c r="AN15" s="376">
        <f t="shared" si="45"/>
        <v>1.248267100596383</v>
      </c>
    </row>
    <row r="16" spans="1:40">
      <c r="A16" s="65" t="str">
        <f>name!E11</f>
        <v>Process, plant and machine operatives</v>
      </c>
      <c r="B16" s="376">
        <f t="shared" si="0"/>
        <v>40.358374305998062</v>
      </c>
      <c r="C16" s="376">
        <f t="shared" si="0"/>
        <v>41.728305575825786</v>
      </c>
      <c r="D16" s="376">
        <f t="shared" si="0"/>
        <v>40.199737732609364</v>
      </c>
      <c r="E16" s="376"/>
      <c r="F16" s="376">
        <f t="shared" si="1"/>
        <v>7.6031817905234444E-2</v>
      </c>
      <c r="G16" s="376">
        <f t="shared" si="1"/>
        <v>0.12222076576125943</v>
      </c>
      <c r="H16" s="376">
        <f t="shared" si="1"/>
        <v>0.24362692875390632</v>
      </c>
      <c r="I16" s="376"/>
      <c r="J16" s="376">
        <f t="shared" si="2"/>
        <v>0.46531697832426233</v>
      </c>
      <c r="K16" s="376">
        <f t="shared" si="2"/>
        <v>0.74541738356823906</v>
      </c>
      <c r="L16" s="376">
        <f t="shared" si="2"/>
        <v>1.3516953912996903</v>
      </c>
      <c r="M16" s="376"/>
      <c r="N16" s="376">
        <f t="shared" si="3"/>
        <v>1.5141356037799776</v>
      </c>
      <c r="O16" s="376">
        <f t="shared" si="3"/>
        <v>2.088976449712391</v>
      </c>
      <c r="P16" s="376">
        <f t="shared" si="3"/>
        <v>3.2013302892616569</v>
      </c>
      <c r="Q16" s="377"/>
      <c r="R16" s="376">
        <f t="shared" ref="R16:T16" si="46">SUM(R28,R40,R58,R70,R82,R100)</f>
        <v>0.73893935557556811</v>
      </c>
      <c r="S16" s="376">
        <f t="shared" si="46"/>
        <v>0.92151958363450359</v>
      </c>
      <c r="T16" s="376">
        <f t="shared" si="46"/>
        <v>1.1748525067497024</v>
      </c>
      <c r="U16" s="377"/>
      <c r="V16" s="376">
        <f t="shared" ref="V16:X16" si="47">SUM(V28,V40,V58,V70,V82,V100)</f>
        <v>1.3445005088198214</v>
      </c>
      <c r="W16" s="376">
        <f t="shared" si="47"/>
        <v>1.6131757289670152</v>
      </c>
      <c r="X16" s="376">
        <f t="shared" si="47"/>
        <v>2.0249297209825028</v>
      </c>
      <c r="Y16" s="377"/>
      <c r="Z16" s="376">
        <f t="shared" ref="Z16:AB16" si="48">SUM(Z28,Z40,Z58,Z70,Z82,Z100)</f>
        <v>8.3892040161210346</v>
      </c>
      <c r="AA16" s="376">
        <f t="shared" si="48"/>
        <v>10.065811692825513</v>
      </c>
      <c r="AB16" s="376">
        <f t="shared" si="48"/>
        <v>11.384714796407367</v>
      </c>
      <c r="AC16" s="377"/>
      <c r="AD16" s="376">
        <f t="shared" ref="AD16:AF16" si="49">SUM(AD28,AD40,AD58,AD70,AD82,AD100)</f>
        <v>11.98600349085644</v>
      </c>
      <c r="AE16" s="376">
        <f t="shared" si="49"/>
        <v>14.379658476719548</v>
      </c>
      <c r="AF16" s="376">
        <f t="shared" si="49"/>
        <v>14.226702459219393</v>
      </c>
      <c r="AG16" s="377"/>
      <c r="AH16" s="376">
        <f t="shared" ref="AH16:AJ16" si="50">SUM(AH28,AH40,AH58,AH70,AH82,AH100)</f>
        <v>9.6767092905676417</v>
      </c>
      <c r="AI16" s="376">
        <f t="shared" si="50"/>
        <v>8.7497894434589245</v>
      </c>
      <c r="AJ16" s="376">
        <f t="shared" si="50"/>
        <v>5.4052975633542504</v>
      </c>
      <c r="AK16" s="377"/>
      <c r="AL16" s="376">
        <f t="shared" ref="AL16:AN16" si="51">SUM(AL28,AL40,AL58,AL70,AL82,AL100)</f>
        <v>6.1675332440480775</v>
      </c>
      <c r="AM16" s="376">
        <f t="shared" si="51"/>
        <v>3.0417360511783911</v>
      </c>
      <c r="AN16" s="376">
        <f t="shared" si="51"/>
        <v>1.1865880765808936</v>
      </c>
    </row>
    <row r="17" spans="1:40">
      <c r="A17" s="65" t="str">
        <f>name!E12</f>
        <v>Elementary occupations</v>
      </c>
      <c r="B17" s="376">
        <f t="shared" si="0"/>
        <v>46.286833202091891</v>
      </c>
      <c r="C17" s="376">
        <f t="shared" si="0"/>
        <v>48.234655478640562</v>
      </c>
      <c r="D17" s="376">
        <f t="shared" si="0"/>
        <v>45.977952071338834</v>
      </c>
      <c r="E17" s="376"/>
      <c r="F17" s="376">
        <f t="shared" si="1"/>
        <v>3.0507158501374178E-2</v>
      </c>
      <c r="G17" s="376">
        <f t="shared" si="1"/>
        <v>4.064636407127592E-2</v>
      </c>
      <c r="H17" s="376">
        <f t="shared" si="1"/>
        <v>6.7414890433054542E-2</v>
      </c>
      <c r="I17" s="376"/>
      <c r="J17" s="376">
        <f t="shared" si="2"/>
        <v>0.8194194364537446</v>
      </c>
      <c r="K17" s="376">
        <f t="shared" si="2"/>
        <v>1.2144028473092061</v>
      </c>
      <c r="L17" s="376">
        <f t="shared" si="2"/>
        <v>2.3679642980194036</v>
      </c>
      <c r="M17" s="376"/>
      <c r="N17" s="376">
        <f t="shared" si="3"/>
        <v>2.9318055667865819</v>
      </c>
      <c r="O17" s="376">
        <f t="shared" si="3"/>
        <v>3.7247548336801057</v>
      </c>
      <c r="P17" s="376">
        <f t="shared" si="3"/>
        <v>4.8945639170735902</v>
      </c>
      <c r="Q17" s="377"/>
      <c r="R17" s="376">
        <f t="shared" ref="R17:T17" si="52">SUM(R29,R41,R59,R71,R83,R101)</f>
        <v>1.45933191064419</v>
      </c>
      <c r="S17" s="376">
        <f t="shared" si="52"/>
        <v>1.8803503029213289</v>
      </c>
      <c r="T17" s="376">
        <f t="shared" si="52"/>
        <v>2.5853747452416016</v>
      </c>
      <c r="U17" s="377"/>
      <c r="V17" s="376">
        <f t="shared" ref="V17:X17" si="53">SUM(V29,V41,V59,V71,V83,V101)</f>
        <v>1.4333105667994084</v>
      </c>
      <c r="W17" s="376">
        <f t="shared" si="53"/>
        <v>1.9042020069370449</v>
      </c>
      <c r="X17" s="376">
        <f t="shared" si="53"/>
        <v>2.5614782510757239</v>
      </c>
      <c r="Y17" s="377"/>
      <c r="Z17" s="376">
        <f t="shared" ref="Z17:AB17" si="54">SUM(Z29,Z41,Z59,Z71,Z83,Z101)</f>
        <v>7.3286928254801174</v>
      </c>
      <c r="AA17" s="376">
        <f t="shared" si="54"/>
        <v>7.7318880753195893</v>
      </c>
      <c r="AB17" s="376">
        <f t="shared" si="54"/>
        <v>7.8304276379029361</v>
      </c>
      <c r="AC17" s="377"/>
      <c r="AD17" s="376">
        <f t="shared" ref="AD17:AF17" si="55">SUM(AD29,AD41,AD59,AD71,AD83,AD101)</f>
        <v>12.860045513714722</v>
      </c>
      <c r="AE17" s="376">
        <f t="shared" si="55"/>
        <v>14.778606638860056</v>
      </c>
      <c r="AF17" s="376">
        <f t="shared" si="55"/>
        <v>14.148979017448838</v>
      </c>
      <c r="AG17" s="377"/>
      <c r="AH17" s="376">
        <f t="shared" ref="AH17:AJ17" si="56">SUM(AH29,AH41,AH59,AH71,AH83,AH101)</f>
        <v>11.898984307562323</v>
      </c>
      <c r="AI17" s="376">
        <f t="shared" si="56"/>
        <v>11.667295628628821</v>
      </c>
      <c r="AJ17" s="376">
        <f t="shared" si="56"/>
        <v>8.2140980903167176</v>
      </c>
      <c r="AK17" s="377"/>
      <c r="AL17" s="376">
        <f t="shared" ref="AL17:AN17" si="57">SUM(AL29,AL41,AL59,AL71,AL83,AL101)</f>
        <v>7.5247359161494227</v>
      </c>
      <c r="AM17" s="376">
        <f t="shared" si="57"/>
        <v>5.2925087809131295</v>
      </c>
      <c r="AN17" s="376">
        <f t="shared" si="57"/>
        <v>3.3076512238269706</v>
      </c>
    </row>
    <row r="18" spans="1:40">
      <c r="A18" s="65"/>
      <c r="B18" s="376"/>
      <c r="C18" s="376"/>
      <c r="D18" s="376"/>
      <c r="E18" s="376"/>
      <c r="F18" s="376"/>
      <c r="G18" s="376"/>
      <c r="H18" s="376"/>
      <c r="I18" s="376"/>
      <c r="J18" s="376"/>
      <c r="K18" s="376"/>
      <c r="L18" s="376"/>
      <c r="M18" s="376"/>
      <c r="N18" s="376"/>
      <c r="O18" s="376"/>
      <c r="P18" s="376"/>
      <c r="Q18" s="377"/>
      <c r="R18" s="376"/>
      <c r="S18" s="376"/>
      <c r="T18" s="376"/>
      <c r="U18" s="377"/>
      <c r="V18" s="376"/>
      <c r="W18" s="376"/>
      <c r="X18" s="376"/>
      <c r="Y18" s="377"/>
      <c r="Z18" s="376"/>
      <c r="AA18" s="376"/>
      <c r="AB18" s="376"/>
      <c r="AC18" s="377"/>
      <c r="AD18" s="376"/>
      <c r="AE18" s="376"/>
      <c r="AF18" s="376"/>
      <c r="AG18" s="377"/>
      <c r="AH18" s="376"/>
      <c r="AI18" s="376"/>
      <c r="AJ18" s="376"/>
      <c r="AK18" s="377"/>
      <c r="AL18" s="376"/>
      <c r="AM18" s="376"/>
      <c r="AN18" s="376"/>
    </row>
    <row r="19" spans="1:40">
      <c r="A19" s="1" t="str">
        <f>name!C4</f>
        <v>Primary sector and utilities</v>
      </c>
      <c r="B19" s="377"/>
      <c r="C19" s="377"/>
      <c r="D19" s="377"/>
      <c r="E19" s="376"/>
      <c r="F19" s="376"/>
      <c r="G19" s="376"/>
      <c r="H19" s="376"/>
      <c r="I19" s="376"/>
      <c r="J19" s="376"/>
      <c r="K19" s="376"/>
      <c r="L19" s="376"/>
      <c r="M19" s="376"/>
      <c r="N19" s="376"/>
      <c r="O19" s="376"/>
      <c r="P19" s="376"/>
      <c r="Q19" s="377"/>
      <c r="R19" s="376"/>
      <c r="S19" s="376"/>
      <c r="T19" s="376"/>
      <c r="U19" s="377"/>
      <c r="V19" s="376"/>
      <c r="W19" s="376"/>
      <c r="X19" s="376"/>
      <c r="Y19" s="377"/>
      <c r="Z19" s="376"/>
      <c r="AA19" s="376"/>
      <c r="AB19" s="376"/>
      <c r="AC19" s="377"/>
      <c r="AD19" s="376"/>
      <c r="AE19" s="376"/>
      <c r="AF19" s="376"/>
      <c r="AG19" s="377"/>
      <c r="AH19" s="376"/>
      <c r="AI19" s="376"/>
      <c r="AJ19" s="376"/>
      <c r="AK19" s="377"/>
      <c r="AL19" s="376"/>
      <c r="AM19" s="376"/>
      <c r="AN19" s="376"/>
    </row>
    <row r="20" spans="1:40">
      <c r="A20" s="65" t="str">
        <f t="shared" ref="A20:A29" si="58">A8</f>
        <v>All occupations</v>
      </c>
      <c r="B20" s="375">
        <f>SUM(B21:B29)</f>
        <v>7.0439999999999934</v>
      </c>
      <c r="C20" s="375">
        <f>SUM(C21:C29)</f>
        <v>7.0899999999999972</v>
      </c>
      <c r="D20" s="375">
        <f>SUM(D21:D29)</f>
        <v>7.1439999999999957</v>
      </c>
      <c r="E20" s="376"/>
      <c r="F20" s="375">
        <f>SUM(F21:F29)</f>
        <v>9.0257758722059836E-2</v>
      </c>
      <c r="G20" s="375">
        <f>SUM(G21:G29)</f>
        <v>0.1217225257417317</v>
      </c>
      <c r="H20" s="375">
        <f>SUM(H21:H29)</f>
        <v>0.19235377016921873</v>
      </c>
      <c r="I20" s="376"/>
      <c r="J20" s="375">
        <f>SUM(J21:J29)</f>
        <v>0.5060998586670431</v>
      </c>
      <c r="K20" s="375">
        <f>SUM(K21:K29)</f>
        <v>0.65064275508496472</v>
      </c>
      <c r="L20" s="375">
        <f>SUM(L21:L29)</f>
        <v>0.97178342521045513</v>
      </c>
      <c r="M20" s="376"/>
      <c r="N20" s="375">
        <f>SUM(N21:N29)</f>
        <v>1.1685892540793998</v>
      </c>
      <c r="O20" s="375">
        <f>SUM(O21:O29)</f>
        <v>1.2160074834392998</v>
      </c>
      <c r="P20" s="375">
        <f>SUM(P21:P29)</f>
        <v>1.3486047615508292</v>
      </c>
      <c r="Q20" s="377"/>
      <c r="R20" s="375">
        <f>SUM(R21:R29)</f>
        <v>0.18837831510186748</v>
      </c>
      <c r="S20" s="375">
        <f>SUM(S21:S29)</f>
        <v>0.19890899817912147</v>
      </c>
      <c r="T20" s="375">
        <f>SUM(T21:T29)</f>
        <v>0.22811844043172039</v>
      </c>
      <c r="U20" s="377"/>
      <c r="V20" s="375">
        <f>SUM(V21:V29)</f>
        <v>0.62775357343632932</v>
      </c>
      <c r="W20" s="375">
        <f>SUM(W21:W29)</f>
        <v>0.64849408189869973</v>
      </c>
      <c r="X20" s="375">
        <f>SUM(X21:X29)</f>
        <v>0.72214129516871972</v>
      </c>
      <c r="Y20" s="377"/>
      <c r="Z20" s="375">
        <f>SUM(Z21:Z29)</f>
        <v>1.3804107500284859</v>
      </c>
      <c r="AA20" s="375">
        <f>SUM(AA21:AA29)</f>
        <v>1.4042630226937169</v>
      </c>
      <c r="AB20" s="375">
        <f>SUM(AB21:AB29)</f>
        <v>1.4303197500607854</v>
      </c>
      <c r="AC20" s="377"/>
      <c r="AD20" s="375">
        <f>SUM(AD21:AD29)</f>
        <v>1.311238162028892</v>
      </c>
      <c r="AE20" s="375">
        <f>SUM(AE21:AE29)</f>
        <v>1.3653597204286054</v>
      </c>
      <c r="AF20" s="375">
        <f>SUM(AF21:AF29)</f>
        <v>1.2087592260487301</v>
      </c>
      <c r="AG20" s="377"/>
      <c r="AH20" s="375">
        <f>SUM(AH21:AH29)</f>
        <v>0.93456724748955811</v>
      </c>
      <c r="AI20" s="375">
        <f>SUM(AI21:AI29)</f>
        <v>0.81353736518096442</v>
      </c>
      <c r="AJ20" s="375">
        <f>SUM(AJ21:AJ29)</f>
        <v>0.58506751673296431</v>
      </c>
      <c r="AK20" s="377"/>
      <c r="AL20" s="375">
        <f>SUM(AL21:AL29)</f>
        <v>0.83670508044635805</v>
      </c>
      <c r="AM20" s="375">
        <f>SUM(AM21:AM29)</f>
        <v>0.67106404735289293</v>
      </c>
      <c r="AN20" s="375">
        <f>SUM(AN21:AN29)</f>
        <v>0.45685181462657221</v>
      </c>
    </row>
    <row r="21" spans="1:40">
      <c r="A21" s="65" t="str">
        <f t="shared" si="58"/>
        <v>Managers, directors and senior officials</v>
      </c>
      <c r="B21" s="376">
        <f>SUM(F21,J21,N21,R21,V21,Z21,AD21,AH21,AL21)</f>
        <v>0.68185497463730149</v>
      </c>
      <c r="C21" s="376">
        <f t="shared" ref="C21:D21" si="59">SUM(G21,K21,O21,S21,W21,AA21,AE21,AI21,AM21)</f>
        <v>0.63537780174854264</v>
      </c>
      <c r="D21" s="376">
        <f t="shared" si="59"/>
        <v>0.66258294502787718</v>
      </c>
      <c r="E21" s="376"/>
      <c r="F21" s="376">
        <v>1.9613220713469947E-2</v>
      </c>
      <c r="G21" s="376">
        <v>2.5281891328565748E-2</v>
      </c>
      <c r="H21" s="376">
        <v>3.7048315081678808E-2</v>
      </c>
      <c r="I21" s="376"/>
      <c r="J21" s="376">
        <v>0.11368671028743733</v>
      </c>
      <c r="K21" s="376">
        <v>0.12822396547043263</v>
      </c>
      <c r="L21" s="376">
        <v>0.17255215933221796</v>
      </c>
      <c r="M21" s="376"/>
      <c r="N21" s="376">
        <v>0.15333892407292513</v>
      </c>
      <c r="O21" s="376">
        <v>0.13673305521923981</v>
      </c>
      <c r="P21" s="376">
        <v>0.14593807859842514</v>
      </c>
      <c r="Q21" s="377"/>
      <c r="R21" s="376">
        <v>2.1421889392466021E-2</v>
      </c>
      <c r="S21" s="376">
        <v>1.8495628671736222E-2</v>
      </c>
      <c r="T21" s="376">
        <v>1.7322551457639744E-2</v>
      </c>
      <c r="U21" s="377"/>
      <c r="V21" s="376">
        <v>4.3950736643742022E-2</v>
      </c>
      <c r="W21" s="376">
        <v>3.3871346591330322E-2</v>
      </c>
      <c r="X21" s="376">
        <v>3.077115930553051E-2</v>
      </c>
      <c r="Y21" s="377"/>
      <c r="Z21" s="376">
        <v>8.1026038113584276E-2</v>
      </c>
      <c r="AA21" s="376">
        <v>7.8555155496275966E-2</v>
      </c>
      <c r="AB21" s="376">
        <v>8.9690536585268002E-2</v>
      </c>
      <c r="AC21" s="377"/>
      <c r="AD21" s="376">
        <v>9.5486031316657852E-2</v>
      </c>
      <c r="AE21" s="376">
        <v>9.5822660945871843E-2</v>
      </c>
      <c r="AF21" s="376">
        <v>8.4821158671220698E-2</v>
      </c>
      <c r="AG21" s="377"/>
      <c r="AH21" s="376">
        <v>6.5513329665659925E-2</v>
      </c>
      <c r="AI21" s="376">
        <v>5.2603757576574955E-2</v>
      </c>
      <c r="AJ21" s="376">
        <v>3.73071311160698E-2</v>
      </c>
      <c r="AK21" s="377"/>
      <c r="AL21" s="376">
        <v>8.7818094431359045E-2</v>
      </c>
      <c r="AM21" s="376">
        <v>6.5790340448515047E-2</v>
      </c>
      <c r="AN21" s="376">
        <v>4.7131854879826664E-2</v>
      </c>
    </row>
    <row r="22" spans="1:40">
      <c r="A22" s="65" t="str">
        <f t="shared" si="58"/>
        <v>Professional occupations</v>
      </c>
      <c r="B22" s="376">
        <f t="shared" ref="B22:B29" si="60">SUM(F22,J22,N22,R22,V22,Z22,AD22,AH22,AL22)</f>
        <v>1.0411747372859133</v>
      </c>
      <c r="C22" s="376">
        <f t="shared" ref="C22:C29" si="61">SUM(G22,K22,O22,S22,W22,AA22,AE22,AI22,AM22)</f>
        <v>1.1543740547326631</v>
      </c>
      <c r="D22" s="376">
        <f t="shared" ref="D22:D29" si="62">SUM(H22,L22,P22,T22,X22,AB22,AF22,AJ22,AN22)</f>
        <v>1.281610875505967</v>
      </c>
      <c r="E22" s="376"/>
      <c r="F22" s="376">
        <v>3.9884831851483407E-2</v>
      </c>
      <c r="G22" s="376">
        <v>5.7339296762108388E-2</v>
      </c>
      <c r="H22" s="376">
        <v>8.9644844621168826E-2</v>
      </c>
      <c r="I22" s="376"/>
      <c r="J22" s="376">
        <v>0.17692653059598643</v>
      </c>
      <c r="K22" s="376">
        <v>0.24120176346563516</v>
      </c>
      <c r="L22" s="376">
        <v>0.35928028304118664</v>
      </c>
      <c r="M22" s="376"/>
      <c r="N22" s="376">
        <v>0.33190233441209915</v>
      </c>
      <c r="O22" s="376">
        <v>0.35411299328712054</v>
      </c>
      <c r="P22" s="376">
        <v>0.37591855970641946</v>
      </c>
      <c r="Q22" s="377"/>
      <c r="R22" s="376">
        <v>3.7378022043296037E-2</v>
      </c>
      <c r="S22" s="376">
        <v>4.2126980023140956E-2</v>
      </c>
      <c r="T22" s="376">
        <v>4.5408646923255108E-2</v>
      </c>
      <c r="U22" s="377"/>
      <c r="V22" s="376">
        <v>0.13177102037623797</v>
      </c>
      <c r="W22" s="376">
        <v>0.14109998604335228</v>
      </c>
      <c r="X22" s="376">
        <v>0.14466313091799304</v>
      </c>
      <c r="Y22" s="377"/>
      <c r="Z22" s="376">
        <v>0.12690252286034193</v>
      </c>
      <c r="AA22" s="376">
        <v>0.13054696678648514</v>
      </c>
      <c r="AB22" s="376">
        <v>0.11989531727559397</v>
      </c>
      <c r="AC22" s="377"/>
      <c r="AD22" s="376">
        <v>7.6478125739143643E-2</v>
      </c>
      <c r="AE22" s="376">
        <v>7.5574254181463393E-2</v>
      </c>
      <c r="AF22" s="376">
        <v>6.4026069818989964E-2</v>
      </c>
      <c r="AG22" s="377"/>
      <c r="AH22" s="376">
        <v>6.3872645124643787E-2</v>
      </c>
      <c r="AI22" s="376">
        <v>6.0108669207075451E-2</v>
      </c>
      <c r="AJ22" s="376">
        <v>4.3063160921873421E-2</v>
      </c>
      <c r="AK22" s="377"/>
      <c r="AL22" s="376">
        <v>5.6058704282681199E-2</v>
      </c>
      <c r="AM22" s="376">
        <v>5.2263144976281713E-2</v>
      </c>
      <c r="AN22" s="376">
        <v>3.9710862279486385E-2</v>
      </c>
    </row>
    <row r="23" spans="1:40">
      <c r="A23" s="65" t="str">
        <f t="shared" si="58"/>
        <v>Associate professional occupations</v>
      </c>
      <c r="B23" s="376">
        <f t="shared" si="60"/>
        <v>1.0338120559466411</v>
      </c>
      <c r="C23" s="376">
        <f t="shared" si="61"/>
        <v>0.97226967894097138</v>
      </c>
      <c r="D23" s="376">
        <f t="shared" si="62"/>
        <v>1.0616080986736298</v>
      </c>
      <c r="E23" s="376"/>
      <c r="F23" s="376">
        <v>1.8532862082466774E-2</v>
      </c>
      <c r="G23" s="376">
        <v>2.2870048559873936E-2</v>
      </c>
      <c r="H23" s="376">
        <v>4.0743753190067698E-2</v>
      </c>
      <c r="I23" s="376"/>
      <c r="J23" s="376">
        <v>9.1371034341948959E-2</v>
      </c>
      <c r="K23" s="376">
        <v>0.10793646404124281</v>
      </c>
      <c r="L23" s="376">
        <v>0.17057726842393406</v>
      </c>
      <c r="M23" s="376"/>
      <c r="N23" s="376">
        <v>0.24883169766265373</v>
      </c>
      <c r="O23" s="376">
        <v>0.23290138392346021</v>
      </c>
      <c r="P23" s="376">
        <v>0.25004633065255016</v>
      </c>
      <c r="Q23" s="377"/>
      <c r="R23" s="376">
        <v>2.6759634092093337E-2</v>
      </c>
      <c r="S23" s="376">
        <v>2.7070538019545225E-2</v>
      </c>
      <c r="T23" s="376">
        <v>3.3943736834138427E-2</v>
      </c>
      <c r="U23" s="377"/>
      <c r="V23" s="376">
        <v>0.17674012614898418</v>
      </c>
      <c r="W23" s="376">
        <v>0.16832086099228669</v>
      </c>
      <c r="X23" s="376">
        <v>0.19285399871155373</v>
      </c>
      <c r="Y23" s="377"/>
      <c r="Z23" s="376">
        <v>0.2239461724900273</v>
      </c>
      <c r="AA23" s="376">
        <v>0.20391505116843528</v>
      </c>
      <c r="AB23" s="376">
        <v>0.1993341171358286</v>
      </c>
      <c r="AC23" s="377"/>
      <c r="AD23" s="376">
        <v>0.10053852006594367</v>
      </c>
      <c r="AE23" s="376">
        <v>8.2269521426924203E-2</v>
      </c>
      <c r="AF23" s="376">
        <v>5.9096950166692419E-2</v>
      </c>
      <c r="AG23" s="377"/>
      <c r="AH23" s="376">
        <v>9.2248377873218962E-2</v>
      </c>
      <c r="AI23" s="376">
        <v>8.0631992924480186E-2</v>
      </c>
      <c r="AJ23" s="376">
        <v>5.8121975960519552E-2</v>
      </c>
      <c r="AK23" s="377"/>
      <c r="AL23" s="376">
        <v>5.4843631189304264E-2</v>
      </c>
      <c r="AM23" s="376">
        <v>4.6353817884722724E-2</v>
      </c>
      <c r="AN23" s="376">
        <v>5.6889967598345186E-2</v>
      </c>
    </row>
    <row r="24" spans="1:40">
      <c r="A24" s="65" t="str">
        <f t="shared" si="58"/>
        <v>Administrative and secretarial occupations</v>
      </c>
      <c r="B24" s="376">
        <f t="shared" si="60"/>
        <v>0.8049286318549187</v>
      </c>
      <c r="C24" s="376">
        <f t="shared" si="61"/>
        <v>0.81103205768164388</v>
      </c>
      <c r="D24" s="376">
        <f t="shared" si="62"/>
        <v>0.75598946363439523</v>
      </c>
      <c r="E24" s="376"/>
      <c r="F24" s="376">
        <v>3.0452398296830678E-3</v>
      </c>
      <c r="G24" s="376">
        <v>3.8731408178157112E-3</v>
      </c>
      <c r="H24" s="376">
        <v>5.693947796890057E-3</v>
      </c>
      <c r="I24" s="376"/>
      <c r="J24" s="376">
        <v>5.1833703815573076E-2</v>
      </c>
      <c r="K24" s="376">
        <v>7.6303492055287081E-2</v>
      </c>
      <c r="L24" s="376">
        <v>0.1213043938394341</v>
      </c>
      <c r="M24" s="376"/>
      <c r="N24" s="376">
        <v>0.17451406516490339</v>
      </c>
      <c r="O24" s="376">
        <v>0.19353919678432996</v>
      </c>
      <c r="P24" s="376">
        <v>0.21157921796258264</v>
      </c>
      <c r="Q24" s="377"/>
      <c r="R24" s="376">
        <v>1.9267106890384932E-2</v>
      </c>
      <c r="S24" s="376">
        <v>1.7657281833114567E-2</v>
      </c>
      <c r="T24" s="376">
        <v>1.5498396495296508E-2</v>
      </c>
      <c r="U24" s="377"/>
      <c r="V24" s="376">
        <v>5.8836974536949867E-2</v>
      </c>
      <c r="W24" s="376">
        <v>5.7310096255093181E-2</v>
      </c>
      <c r="X24" s="376">
        <v>5.4458771135302446E-2</v>
      </c>
      <c r="Y24" s="377"/>
      <c r="Z24" s="376">
        <v>0.14011979570399333</v>
      </c>
      <c r="AA24" s="376">
        <v>0.13425095062180978</v>
      </c>
      <c r="AB24" s="376">
        <v>0.10105244126587931</v>
      </c>
      <c r="AC24" s="377"/>
      <c r="AD24" s="376">
        <v>0.11986517422590529</v>
      </c>
      <c r="AE24" s="376">
        <v>0.10729901230545497</v>
      </c>
      <c r="AF24" s="376">
        <v>7.8800836280315326E-2</v>
      </c>
      <c r="AG24" s="377"/>
      <c r="AH24" s="376">
        <v>0.13523285013721165</v>
      </c>
      <c r="AI24" s="376">
        <v>0.12697012340202399</v>
      </c>
      <c r="AJ24" s="376">
        <v>7.7774144237600221E-2</v>
      </c>
      <c r="AK24" s="377"/>
      <c r="AL24" s="376">
        <v>0.10221372155031422</v>
      </c>
      <c r="AM24" s="376">
        <v>9.3828763606714743E-2</v>
      </c>
      <c r="AN24" s="376">
        <v>8.9827314621094737E-2</v>
      </c>
    </row>
    <row r="25" spans="1:40">
      <c r="A25" s="65" t="str">
        <f t="shared" si="58"/>
        <v>Skilled trades occupations</v>
      </c>
      <c r="B25" s="376">
        <f t="shared" si="60"/>
        <v>1.3823265611906446</v>
      </c>
      <c r="C25" s="376">
        <f t="shared" si="61"/>
        <v>1.3790835392651228</v>
      </c>
      <c r="D25" s="376">
        <f t="shared" si="62"/>
        <v>1.2634751007310303</v>
      </c>
      <c r="E25" s="376"/>
      <c r="F25" s="376">
        <v>5.2305411936941545E-3</v>
      </c>
      <c r="G25" s="376">
        <v>6.4429247860101789E-3</v>
      </c>
      <c r="H25" s="376">
        <v>9.276138004325276E-3</v>
      </c>
      <c r="I25" s="376"/>
      <c r="J25" s="376">
        <v>2.4430951681546534E-2</v>
      </c>
      <c r="K25" s="376">
        <v>3.0509484640456202E-2</v>
      </c>
      <c r="L25" s="376">
        <v>4.4618306516935255E-2</v>
      </c>
      <c r="M25" s="376"/>
      <c r="N25" s="376">
        <v>0.15021794279374004</v>
      </c>
      <c r="O25" s="376">
        <v>0.17336565913481039</v>
      </c>
      <c r="P25" s="376">
        <v>0.22165724128614611</v>
      </c>
      <c r="Q25" s="377"/>
      <c r="R25" s="376">
        <v>4.4358270333216675E-2</v>
      </c>
      <c r="S25" s="376">
        <v>4.9019292691848841E-2</v>
      </c>
      <c r="T25" s="376">
        <v>5.7367440592538031E-2</v>
      </c>
      <c r="U25" s="377"/>
      <c r="V25" s="376">
        <v>0.14735600674648233</v>
      </c>
      <c r="W25" s="376">
        <v>0.16508203482056241</v>
      </c>
      <c r="X25" s="376">
        <v>0.20020673338284606</v>
      </c>
      <c r="Y25" s="377"/>
      <c r="Z25" s="376">
        <v>0.32613966449440818</v>
      </c>
      <c r="AA25" s="376">
        <v>0.30552637622362439</v>
      </c>
      <c r="AB25" s="376">
        <v>0.24427688521299143</v>
      </c>
      <c r="AC25" s="377"/>
      <c r="AD25" s="376">
        <v>0.30574966452670954</v>
      </c>
      <c r="AE25" s="376">
        <v>0.32467618912284785</v>
      </c>
      <c r="AF25" s="376">
        <v>0.28073590278191118</v>
      </c>
      <c r="AG25" s="377"/>
      <c r="AH25" s="376">
        <v>0.21314516885015131</v>
      </c>
      <c r="AI25" s="376">
        <v>0.1935013235602637</v>
      </c>
      <c r="AJ25" s="376">
        <v>0.14933704919850144</v>
      </c>
      <c r="AK25" s="377"/>
      <c r="AL25" s="376">
        <v>0.16569835057069576</v>
      </c>
      <c r="AM25" s="376">
        <v>0.13096025428469898</v>
      </c>
      <c r="AN25" s="376">
        <v>5.5999403754835614E-2</v>
      </c>
    </row>
    <row r="26" spans="1:40">
      <c r="A26" s="65" t="str">
        <f t="shared" si="58"/>
        <v>Caring, leisure and other service occupations</v>
      </c>
      <c r="B26" s="376">
        <f t="shared" si="60"/>
        <v>0.17038120560406156</v>
      </c>
      <c r="C26" s="376">
        <f t="shared" si="61"/>
        <v>0.17453525335245168</v>
      </c>
      <c r="D26" s="376">
        <f t="shared" si="62"/>
        <v>0.18512866465981384</v>
      </c>
      <c r="E26" s="376"/>
      <c r="F26" s="376">
        <v>1.4767230134081978E-3</v>
      </c>
      <c r="G26" s="376">
        <v>2.3751546766047809E-3</v>
      </c>
      <c r="H26" s="376">
        <v>3.3599884879178914E-3</v>
      </c>
      <c r="I26" s="376"/>
      <c r="J26" s="376">
        <v>1.7717885578393888E-2</v>
      </c>
      <c r="K26" s="376">
        <v>2.3967764473577527E-2</v>
      </c>
      <c r="L26" s="376">
        <v>3.3547517217729597E-2</v>
      </c>
      <c r="M26" s="376"/>
      <c r="N26" s="376">
        <v>4.1465152682036092E-2</v>
      </c>
      <c r="O26" s="376">
        <v>4.663301530925535E-2</v>
      </c>
      <c r="P26" s="376">
        <v>4.6684709180206341E-2</v>
      </c>
      <c r="Q26" s="377"/>
      <c r="R26" s="376">
        <v>8.5888478957482188E-3</v>
      </c>
      <c r="S26" s="376">
        <v>1.0245196133188509E-2</v>
      </c>
      <c r="T26" s="376">
        <v>1.2467453973428567E-2</v>
      </c>
      <c r="U26" s="377"/>
      <c r="V26" s="376">
        <v>6.8608073255306788E-3</v>
      </c>
      <c r="W26" s="376">
        <v>7.453487007193978E-3</v>
      </c>
      <c r="X26" s="376">
        <v>7.651727114649523E-3</v>
      </c>
      <c r="Y26" s="377"/>
      <c r="Z26" s="376">
        <v>2.4735594734329635E-2</v>
      </c>
      <c r="AA26" s="376">
        <v>2.4263053401434798E-2</v>
      </c>
      <c r="AB26" s="376">
        <v>2.5845106942168655E-2</v>
      </c>
      <c r="AC26" s="377"/>
      <c r="AD26" s="376">
        <v>1.9053961316135248E-2</v>
      </c>
      <c r="AE26" s="376">
        <v>1.7622170468580986E-2</v>
      </c>
      <c r="AF26" s="376">
        <v>1.411498092765822E-2</v>
      </c>
      <c r="AG26" s="377"/>
      <c r="AH26" s="376">
        <v>2.5414521208972609E-2</v>
      </c>
      <c r="AI26" s="376">
        <v>2.1263981661553022E-2</v>
      </c>
      <c r="AJ26" s="376">
        <v>1.7923719238974609E-2</v>
      </c>
      <c r="AK26" s="377"/>
      <c r="AL26" s="376">
        <v>2.5067711849506995E-2</v>
      </c>
      <c r="AM26" s="376">
        <v>2.071143022106274E-2</v>
      </c>
      <c r="AN26" s="376">
        <v>2.3533461577080445E-2</v>
      </c>
    </row>
    <row r="27" spans="1:40">
      <c r="A27" s="65" t="str">
        <f t="shared" si="58"/>
        <v>Sales and customer service occupations</v>
      </c>
      <c r="B27" s="376">
        <f t="shared" si="60"/>
        <v>0.38705541054372655</v>
      </c>
      <c r="C27" s="376">
        <f t="shared" si="61"/>
        <v>0.37143227739104845</v>
      </c>
      <c r="D27" s="376">
        <f t="shared" si="62"/>
        <v>0.37846357562579874</v>
      </c>
      <c r="E27" s="376"/>
      <c r="F27" s="376">
        <v>2.4075533308890629E-3</v>
      </c>
      <c r="G27" s="376">
        <v>3.4524307993819246E-3</v>
      </c>
      <c r="H27" s="376">
        <v>6.4427099863819193E-3</v>
      </c>
      <c r="I27" s="376"/>
      <c r="J27" s="376">
        <v>1.283742599116923E-2</v>
      </c>
      <c r="K27" s="376">
        <v>1.7003802604768574E-2</v>
      </c>
      <c r="L27" s="376">
        <v>2.5598324173444983E-2</v>
      </c>
      <c r="M27" s="376"/>
      <c r="N27" s="376">
        <v>3.8055889133639879E-2</v>
      </c>
      <c r="O27" s="376">
        <v>3.9970891976189138E-2</v>
      </c>
      <c r="P27" s="376">
        <v>4.8910335302600846E-2</v>
      </c>
      <c r="Q27" s="377"/>
      <c r="R27" s="376">
        <v>1.4788408754865366E-2</v>
      </c>
      <c r="S27" s="376">
        <v>1.5853691419982229E-2</v>
      </c>
      <c r="T27" s="376">
        <v>2.3422929528516129E-2</v>
      </c>
      <c r="U27" s="377"/>
      <c r="V27" s="376">
        <v>2.8796899682029749E-2</v>
      </c>
      <c r="W27" s="376">
        <v>2.6659813067205121E-2</v>
      </c>
      <c r="X27" s="376">
        <v>2.5839346531703125E-2</v>
      </c>
      <c r="Y27" s="377"/>
      <c r="Z27" s="376">
        <v>0.12311764286093944</v>
      </c>
      <c r="AA27" s="376">
        <v>0.12152138493222873</v>
      </c>
      <c r="AB27" s="376">
        <v>0.13149176707175853</v>
      </c>
      <c r="AC27" s="377"/>
      <c r="AD27" s="376">
        <v>6.0517491336561056E-2</v>
      </c>
      <c r="AE27" s="376">
        <v>6.2003464255324631E-2</v>
      </c>
      <c r="AF27" s="376">
        <v>6.0604872553270309E-2</v>
      </c>
      <c r="AG27" s="377"/>
      <c r="AH27" s="376">
        <v>6.7280039687582019E-2</v>
      </c>
      <c r="AI27" s="376">
        <v>5.907868166714516E-2</v>
      </c>
      <c r="AJ27" s="376">
        <v>4.0250761453506312E-2</v>
      </c>
      <c r="AK27" s="377"/>
      <c r="AL27" s="376">
        <v>3.9254059766050779E-2</v>
      </c>
      <c r="AM27" s="376">
        <v>2.5888116668822965E-2</v>
      </c>
      <c r="AN27" s="376">
        <v>1.5902529024616564E-2</v>
      </c>
    </row>
    <row r="28" spans="1:40">
      <c r="A28" s="65" t="str">
        <f t="shared" si="58"/>
        <v>Process, plant and machine operatives</v>
      </c>
      <c r="B28" s="376">
        <f t="shared" si="60"/>
        <v>0.87970410508094565</v>
      </c>
      <c r="C28" s="376">
        <f t="shared" si="61"/>
        <v>0.88578195062048581</v>
      </c>
      <c r="D28" s="376">
        <f t="shared" si="62"/>
        <v>0.90552190042650027</v>
      </c>
      <c r="E28" s="376"/>
      <c r="F28" s="376">
        <v>3.8345278236758563E-5</v>
      </c>
      <c r="G28" s="376">
        <v>5.5147418896823152E-5</v>
      </c>
      <c r="H28" s="376">
        <v>8.5090127922860835E-5</v>
      </c>
      <c r="I28" s="376"/>
      <c r="J28" s="376">
        <v>8.9534450774736637E-3</v>
      </c>
      <c r="K28" s="376">
        <v>1.2207150995820247E-2</v>
      </c>
      <c r="L28" s="376">
        <v>1.652548830493954E-2</v>
      </c>
      <c r="M28" s="376"/>
      <c r="N28" s="376">
        <v>2.2486945513025269E-2</v>
      </c>
      <c r="O28" s="376">
        <v>2.7688604060529705E-2</v>
      </c>
      <c r="P28" s="376">
        <v>3.4838302306634643E-2</v>
      </c>
      <c r="Q28" s="377"/>
      <c r="R28" s="376">
        <v>1.078790480468648E-2</v>
      </c>
      <c r="S28" s="376">
        <v>1.2235476518278663E-2</v>
      </c>
      <c r="T28" s="376">
        <v>1.5812966605048173E-2</v>
      </c>
      <c r="U28" s="377"/>
      <c r="V28" s="376">
        <v>1.9040780005189859E-2</v>
      </c>
      <c r="W28" s="376">
        <v>2.2307921203707292E-2</v>
      </c>
      <c r="X28" s="376">
        <v>2.6081256093752357E-2</v>
      </c>
      <c r="Y28" s="377"/>
      <c r="Z28" s="376">
        <v>0.24963853264787791</v>
      </c>
      <c r="AA28" s="376">
        <v>0.30575045241522258</v>
      </c>
      <c r="AB28" s="376">
        <v>0.42209205877533279</v>
      </c>
      <c r="AC28" s="377"/>
      <c r="AD28" s="376">
        <v>0.2790277838396365</v>
      </c>
      <c r="AE28" s="376">
        <v>0.30571550252268048</v>
      </c>
      <c r="AF28" s="376">
        <v>0.29070744880709126</v>
      </c>
      <c r="AG28" s="377"/>
      <c r="AH28" s="376">
        <v>6.9167918145589619E-2</v>
      </c>
      <c r="AI28" s="376">
        <v>4.104867445971247E-2</v>
      </c>
      <c r="AJ28" s="376">
        <v>2.2989392404886039E-2</v>
      </c>
      <c r="AK28" s="377"/>
      <c r="AL28" s="376">
        <v>0.22056244976922956</v>
      </c>
      <c r="AM28" s="376">
        <v>0.15877302102563756</v>
      </c>
      <c r="AN28" s="376">
        <v>7.638989700089252E-2</v>
      </c>
    </row>
    <row r="29" spans="1:40">
      <c r="A29" s="65" t="str">
        <f t="shared" si="58"/>
        <v>Elementary occupations</v>
      </c>
      <c r="B29" s="376">
        <f t="shared" si="60"/>
        <v>0.66276231785584072</v>
      </c>
      <c r="C29" s="376">
        <f t="shared" si="61"/>
        <v>0.70611338626706754</v>
      </c>
      <c r="D29" s="376">
        <f t="shared" si="62"/>
        <v>0.64961937571498274</v>
      </c>
      <c r="E29" s="376"/>
      <c r="F29" s="376">
        <v>2.8441428728467256E-5</v>
      </c>
      <c r="G29" s="376">
        <v>3.2490592474206742E-5</v>
      </c>
      <c r="H29" s="376">
        <v>5.8982872865396104E-5</v>
      </c>
      <c r="I29" s="376"/>
      <c r="J29" s="376">
        <v>8.3421712975140679E-3</v>
      </c>
      <c r="K29" s="376">
        <v>1.328886733774457E-2</v>
      </c>
      <c r="L29" s="376">
        <v>2.7779684360632988E-2</v>
      </c>
      <c r="M29" s="376"/>
      <c r="N29" s="376">
        <v>7.7763026443773142E-3</v>
      </c>
      <c r="O29" s="376">
        <v>1.1062683744364667E-2</v>
      </c>
      <c r="P29" s="376">
        <v>1.3031986555263938E-2</v>
      </c>
      <c r="Q29" s="377"/>
      <c r="R29" s="376">
        <v>5.0282308951104205E-3</v>
      </c>
      <c r="S29" s="376">
        <v>6.2049128682862493E-3</v>
      </c>
      <c r="T29" s="376">
        <v>6.8743180218597006E-3</v>
      </c>
      <c r="U29" s="377"/>
      <c r="V29" s="376">
        <v>1.4400221971182727E-2</v>
      </c>
      <c r="W29" s="376">
        <v>2.6388535917968511E-2</v>
      </c>
      <c r="X29" s="376">
        <v>3.9615171975388906E-2</v>
      </c>
      <c r="Y29" s="377"/>
      <c r="Z29" s="376">
        <v>8.4784786122984054E-2</v>
      </c>
      <c r="AA29" s="376">
        <v>9.993363164820028E-2</v>
      </c>
      <c r="AB29" s="376">
        <v>9.6641519795964081E-2</v>
      </c>
      <c r="AC29" s="377"/>
      <c r="AD29" s="376">
        <v>0.25452140966219933</v>
      </c>
      <c r="AE29" s="376">
        <v>0.29437694519945717</v>
      </c>
      <c r="AF29" s="376">
        <v>0.2758510060415808</v>
      </c>
      <c r="AG29" s="377"/>
      <c r="AH29" s="376">
        <v>0.20269239679652823</v>
      </c>
      <c r="AI29" s="376">
        <v>0.17833016072213539</v>
      </c>
      <c r="AJ29" s="376">
        <v>0.13830018220103293</v>
      </c>
      <c r="AK29" s="377"/>
      <c r="AL29" s="376">
        <v>8.5188357037216125E-2</v>
      </c>
      <c r="AM29" s="376">
        <v>7.6495158236436517E-2</v>
      </c>
      <c r="AN29" s="376">
        <v>5.146652389039396E-2</v>
      </c>
    </row>
    <row r="30" spans="1:40">
      <c r="A30" s="65"/>
      <c r="B30" s="375"/>
      <c r="C30" s="375"/>
      <c r="D30" s="375"/>
      <c r="E30" s="376"/>
      <c r="F30" s="376"/>
      <c r="G30" s="376"/>
      <c r="H30" s="376"/>
      <c r="I30" s="376"/>
      <c r="J30" s="376"/>
      <c r="K30" s="376"/>
      <c r="L30" s="376"/>
      <c r="M30" s="376"/>
      <c r="N30" s="376"/>
      <c r="O30" s="376"/>
      <c r="P30" s="376"/>
      <c r="Q30" s="377"/>
      <c r="R30" s="376"/>
      <c r="S30" s="376"/>
      <c r="T30" s="376"/>
      <c r="U30" s="377"/>
      <c r="V30" s="376"/>
      <c r="W30" s="376"/>
      <c r="X30" s="376"/>
      <c r="Y30" s="377"/>
      <c r="Z30" s="376"/>
      <c r="AA30" s="376"/>
      <c r="AB30" s="376"/>
      <c r="AC30" s="377"/>
      <c r="AD30" s="376"/>
      <c r="AE30" s="376"/>
      <c r="AF30" s="376"/>
      <c r="AG30" s="377"/>
      <c r="AH30" s="376"/>
      <c r="AI30" s="376"/>
      <c r="AJ30" s="376"/>
      <c r="AK30" s="377"/>
      <c r="AL30" s="376"/>
      <c r="AM30" s="376"/>
      <c r="AN30" s="376"/>
    </row>
    <row r="31" spans="1:40">
      <c r="A31" s="1" t="str">
        <f>name!C5</f>
        <v>Manufacturing</v>
      </c>
      <c r="B31" s="377"/>
      <c r="C31" s="377"/>
      <c r="D31" s="377"/>
      <c r="E31" s="376"/>
      <c r="F31" s="376"/>
      <c r="G31" s="376"/>
      <c r="H31" s="376"/>
      <c r="I31" s="376"/>
      <c r="J31" s="376"/>
      <c r="K31" s="376"/>
      <c r="L31" s="376"/>
      <c r="M31" s="376"/>
      <c r="N31" s="376"/>
      <c r="O31" s="376"/>
      <c r="P31" s="376"/>
      <c r="Q31" s="377"/>
      <c r="R31" s="376"/>
      <c r="S31" s="376"/>
      <c r="T31" s="376"/>
      <c r="U31" s="377"/>
      <c r="V31" s="376"/>
      <c r="W31" s="376"/>
      <c r="X31" s="376"/>
      <c r="Y31" s="377"/>
      <c r="Z31" s="376"/>
      <c r="AA31" s="376"/>
      <c r="AB31" s="376"/>
      <c r="AC31" s="377"/>
      <c r="AD31" s="376"/>
      <c r="AE31" s="376"/>
      <c r="AF31" s="376"/>
      <c r="AG31" s="377"/>
      <c r="AH31" s="376"/>
      <c r="AI31" s="376"/>
      <c r="AJ31" s="376"/>
      <c r="AK31" s="377"/>
      <c r="AL31" s="376"/>
      <c r="AM31" s="376"/>
      <c r="AN31" s="376"/>
    </row>
    <row r="32" spans="1:40">
      <c r="A32" s="65" t="str">
        <f t="shared" ref="A32:A41" si="63">A8</f>
        <v>All occupations</v>
      </c>
      <c r="B32" s="375">
        <f>SUM(B33:B41)</f>
        <v>63.878999999999998</v>
      </c>
      <c r="C32" s="375">
        <f>SUM(C33:C41)</f>
        <v>62.487000000000016</v>
      </c>
      <c r="D32" s="375">
        <f>SUM(D33:D41)</f>
        <v>56.889999999999894</v>
      </c>
      <c r="E32" s="376"/>
      <c r="F32" s="375">
        <f>SUM(F33:F41)</f>
        <v>0.63738013746431488</v>
      </c>
      <c r="G32" s="375">
        <f>SUM(G33:G41)</f>
        <v>0.81193831120136228</v>
      </c>
      <c r="H32" s="375">
        <f>SUM(H33:H41)</f>
        <v>1.0944175351090624</v>
      </c>
      <c r="I32" s="376"/>
      <c r="J32" s="375">
        <f>SUM(J33:J41)</f>
        <v>3.5369787979929765</v>
      </c>
      <c r="K32" s="375">
        <f>SUM(K33:K41)</f>
        <v>4.5641046738439632</v>
      </c>
      <c r="L32" s="375">
        <f>SUM(L33:L41)</f>
        <v>6.3440747438166341</v>
      </c>
      <c r="M32" s="376"/>
      <c r="N32" s="375">
        <f>SUM(N33:N41)</f>
        <v>8.6911186064454817</v>
      </c>
      <c r="O32" s="375">
        <f>SUM(O33:O41)</f>
        <v>8.9795168669429337</v>
      </c>
      <c r="P32" s="375">
        <f>SUM(P33:P41)</f>
        <v>9.1201659491441625</v>
      </c>
      <c r="Q32" s="377"/>
      <c r="R32" s="375">
        <f>SUM(R33:R41)</f>
        <v>2.1410683910935084</v>
      </c>
      <c r="S32" s="375">
        <f>SUM(S33:S41)</f>
        <v>2.2264061577305982</v>
      </c>
      <c r="T32" s="375">
        <f>SUM(T33:T41)</f>
        <v>2.3413542934698137</v>
      </c>
      <c r="U32" s="377"/>
      <c r="V32" s="375">
        <f>SUM(V33:V41)</f>
        <v>4.859248184727309</v>
      </c>
      <c r="W32" s="375">
        <f>SUM(W33:W41)</f>
        <v>4.8629302180659932</v>
      </c>
      <c r="X32" s="375">
        <f>SUM(X33:X41)</f>
        <v>4.7524635485779809</v>
      </c>
      <c r="Y32" s="377"/>
      <c r="Z32" s="375">
        <f>SUM(Z33:Z41)</f>
        <v>15.81695303904228</v>
      </c>
      <c r="AA32" s="375">
        <f>SUM(AA33:AA41)</f>
        <v>16.443014500288822</v>
      </c>
      <c r="AB32" s="375">
        <f>SUM(AB33:AB41)</f>
        <v>15.720842698197824</v>
      </c>
      <c r="AC32" s="377"/>
      <c r="AD32" s="375">
        <f>SUM(AD33:AD41)</f>
        <v>13.924329797294188</v>
      </c>
      <c r="AE32" s="375">
        <f>SUM(AE33:AE41)</f>
        <v>14.54043426338529</v>
      </c>
      <c r="AF32" s="375">
        <f>SUM(AF33:AF41)</f>
        <v>11.902757239141875</v>
      </c>
      <c r="AG32" s="377"/>
      <c r="AH32" s="375">
        <f>SUM(AH33:AH41)</f>
        <v>9.4303133846602041</v>
      </c>
      <c r="AI32" s="375">
        <f>SUM(AI33:AI41)</f>
        <v>7.7904501300611093</v>
      </c>
      <c r="AJ32" s="375">
        <f>SUM(AJ33:AJ41)</f>
        <v>4.3495916505498364</v>
      </c>
      <c r="AK32" s="377"/>
      <c r="AL32" s="375">
        <f>SUM(AL33:AL41)</f>
        <v>4.8416096612797395</v>
      </c>
      <c r="AM32" s="375">
        <f>SUM(AM33:AM41)</f>
        <v>2.2682048784799456</v>
      </c>
      <c r="AN32" s="375">
        <f>SUM(AN33:AN41)</f>
        <v>1.2643323419927106</v>
      </c>
    </row>
    <row r="33" spans="1:40">
      <c r="A33" s="65" t="str">
        <f t="shared" si="63"/>
        <v>Managers, directors and senior officials</v>
      </c>
      <c r="B33" s="376">
        <f>SUM(F33,J33,N33,R33,V33,Z33,AD33,AH33,AL33)</f>
        <v>6.4590778965865079</v>
      </c>
      <c r="C33" s="376">
        <f t="shared" ref="C33:C41" si="64">SUM(G33,K33,O33,S33,W33,AA33,AE33,AI33,AM33)</f>
        <v>5.6428311441387065</v>
      </c>
      <c r="D33" s="376">
        <f t="shared" ref="D33:D40" si="65">SUM(H33,L33,P33,T33,X33,AB33,AF33,AJ33,AN33)</f>
        <v>5.3588531037415672</v>
      </c>
      <c r="E33" s="376"/>
      <c r="F33" s="376">
        <v>8.980041317632774E-2</v>
      </c>
      <c r="G33" s="376">
        <v>8.8099300804138858E-2</v>
      </c>
      <c r="H33" s="376">
        <v>0.11088313730492189</v>
      </c>
      <c r="I33" s="376"/>
      <c r="J33" s="376">
        <v>0.65057386100456194</v>
      </c>
      <c r="K33" s="376">
        <v>0.71608642569094572</v>
      </c>
      <c r="L33" s="376">
        <v>0.93272716424161151</v>
      </c>
      <c r="M33" s="376"/>
      <c r="N33" s="376">
        <v>1.6821341372809397</v>
      </c>
      <c r="O33" s="376">
        <v>1.4974778224365122</v>
      </c>
      <c r="P33" s="376">
        <v>1.4544884026803055</v>
      </c>
      <c r="Q33" s="377"/>
      <c r="R33" s="376">
        <v>0.36182982698248412</v>
      </c>
      <c r="S33" s="376">
        <v>0.32266968982312738</v>
      </c>
      <c r="T33" s="376">
        <v>0.31075727241072332</v>
      </c>
      <c r="U33" s="377"/>
      <c r="V33" s="376">
        <v>0.81866338351744172</v>
      </c>
      <c r="W33" s="376">
        <v>0.70805200304744176</v>
      </c>
      <c r="X33" s="376">
        <v>0.68545581392854438</v>
      </c>
      <c r="Y33" s="377"/>
      <c r="Z33" s="376">
        <v>1.1535728933588916</v>
      </c>
      <c r="AA33" s="376">
        <v>0.98052915412268649</v>
      </c>
      <c r="AB33" s="376">
        <v>0.86724009742126729</v>
      </c>
      <c r="AC33" s="377"/>
      <c r="AD33" s="376">
        <v>0.9460813224808301</v>
      </c>
      <c r="AE33" s="376">
        <v>0.81094486496182561</v>
      </c>
      <c r="AF33" s="376">
        <v>0.64844765533194382</v>
      </c>
      <c r="AG33" s="377"/>
      <c r="AH33" s="376">
        <v>0.53747141904751572</v>
      </c>
      <c r="AI33" s="376">
        <v>0.36708067957147777</v>
      </c>
      <c r="AJ33" s="376">
        <v>0.21946744370029964</v>
      </c>
      <c r="AK33" s="377"/>
      <c r="AL33" s="376">
        <v>0.21895063973751469</v>
      </c>
      <c r="AM33" s="376">
        <v>0.15189120368055056</v>
      </c>
      <c r="AN33" s="376">
        <v>0.12938611672194894</v>
      </c>
    </row>
    <row r="34" spans="1:40">
      <c r="A34" s="65" t="str">
        <f t="shared" si="63"/>
        <v>Professional occupations</v>
      </c>
      <c r="B34" s="376">
        <f t="shared" ref="B34:B41" si="66">SUM(F34,J34,N34,R34,V34,Z34,AD34,AH34,AL34)</f>
        <v>10.2501742013031</v>
      </c>
      <c r="C34" s="376">
        <f t="shared" si="64"/>
        <v>11.495032647003464</v>
      </c>
      <c r="D34" s="376">
        <f t="shared" si="65"/>
        <v>11.709429802510607</v>
      </c>
      <c r="E34" s="376"/>
      <c r="F34" s="376">
        <v>0.41106247304377508</v>
      </c>
      <c r="G34" s="376">
        <v>0.55734081296321014</v>
      </c>
      <c r="H34" s="376">
        <v>0.75036455525073165</v>
      </c>
      <c r="I34" s="376"/>
      <c r="J34" s="376">
        <v>1.5259605668749388</v>
      </c>
      <c r="K34" s="376">
        <v>2.0946685575906985</v>
      </c>
      <c r="L34" s="376">
        <v>2.890020003416474</v>
      </c>
      <c r="M34" s="376"/>
      <c r="N34" s="376">
        <v>2.8234548350862361</v>
      </c>
      <c r="O34" s="376">
        <v>2.9802153670250631</v>
      </c>
      <c r="P34" s="376">
        <v>2.7997203742544969</v>
      </c>
      <c r="Q34" s="377"/>
      <c r="R34" s="376">
        <v>0.32394859587507158</v>
      </c>
      <c r="S34" s="376">
        <v>0.34692936483884079</v>
      </c>
      <c r="T34" s="376">
        <v>0.34074707484096167</v>
      </c>
      <c r="U34" s="377"/>
      <c r="V34" s="376">
        <v>1.2650537860009985</v>
      </c>
      <c r="W34" s="376">
        <v>1.3762007278950443</v>
      </c>
      <c r="X34" s="376">
        <v>1.3299506862540298</v>
      </c>
      <c r="Y34" s="377"/>
      <c r="Z34" s="376">
        <v>1.877169230380588</v>
      </c>
      <c r="AA34" s="376">
        <v>2.0796560103787125</v>
      </c>
      <c r="AB34" s="376">
        <v>1.9904319616993043</v>
      </c>
      <c r="AC34" s="377"/>
      <c r="AD34" s="376">
        <v>1.0922361787482262</v>
      </c>
      <c r="AE34" s="376">
        <v>1.2013718224662455</v>
      </c>
      <c r="AF34" s="376">
        <v>0.96773467228696242</v>
      </c>
      <c r="AG34" s="377"/>
      <c r="AH34" s="376">
        <v>0.73475271382003826</v>
      </c>
      <c r="AI34" s="376">
        <v>0.70133078044585906</v>
      </c>
      <c r="AJ34" s="376">
        <v>0.52652630743445072</v>
      </c>
      <c r="AK34" s="377"/>
      <c r="AL34" s="376">
        <v>0.1965358214732266</v>
      </c>
      <c r="AM34" s="376">
        <v>0.15731920339978828</v>
      </c>
      <c r="AN34" s="376">
        <v>0.11393416707319733</v>
      </c>
    </row>
    <row r="35" spans="1:40">
      <c r="A35" s="65" t="str">
        <f t="shared" si="63"/>
        <v>Associate professional occupations</v>
      </c>
      <c r="B35" s="376">
        <f t="shared" si="66"/>
        <v>6.6074503988103652</v>
      </c>
      <c r="C35" s="376">
        <f t="shared" si="64"/>
        <v>6.1547099229417093</v>
      </c>
      <c r="D35" s="376">
        <f t="shared" si="65"/>
        <v>5.8438206131931079</v>
      </c>
      <c r="E35" s="376"/>
      <c r="F35" s="376">
        <v>7.4466355406072299E-2</v>
      </c>
      <c r="G35" s="376">
        <v>8.5448401725088385E-2</v>
      </c>
      <c r="H35" s="376">
        <v>0.11766260099300468</v>
      </c>
      <c r="I35" s="376"/>
      <c r="J35" s="376">
        <v>0.58942571347719586</v>
      </c>
      <c r="K35" s="376">
        <v>0.68449722614736563</v>
      </c>
      <c r="L35" s="376">
        <v>0.93439782688735828</v>
      </c>
      <c r="M35" s="376"/>
      <c r="N35" s="376">
        <v>1.6048524704343581</v>
      </c>
      <c r="O35" s="376">
        <v>1.5480641996182241</v>
      </c>
      <c r="P35" s="376">
        <v>1.4886359761804202</v>
      </c>
      <c r="Q35" s="377"/>
      <c r="R35" s="376">
        <v>0.46041779018634715</v>
      </c>
      <c r="S35" s="376">
        <v>0.45725628271441165</v>
      </c>
      <c r="T35" s="376">
        <v>0.47026594283851197</v>
      </c>
      <c r="U35" s="377"/>
      <c r="V35" s="376">
        <v>0.61658878713875453</v>
      </c>
      <c r="W35" s="376">
        <v>0.53464082432629634</v>
      </c>
      <c r="X35" s="376">
        <v>0.49156824506457264</v>
      </c>
      <c r="Y35" s="377"/>
      <c r="Z35" s="376">
        <v>1.4851443822534767</v>
      </c>
      <c r="AA35" s="376">
        <v>1.3833436513619062</v>
      </c>
      <c r="AB35" s="376">
        <v>1.2497101018496</v>
      </c>
      <c r="AC35" s="377"/>
      <c r="AD35" s="376">
        <v>1.0792624835957105</v>
      </c>
      <c r="AE35" s="376">
        <v>0.98595088271487774</v>
      </c>
      <c r="AF35" s="376">
        <v>0.79338944539878098</v>
      </c>
      <c r="AG35" s="377"/>
      <c r="AH35" s="376">
        <v>0.57212539171410681</v>
      </c>
      <c r="AI35" s="376">
        <v>0.38204005928259721</v>
      </c>
      <c r="AJ35" s="376">
        <v>0.23288107110342579</v>
      </c>
      <c r="AK35" s="377"/>
      <c r="AL35" s="376">
        <v>0.12516702460434287</v>
      </c>
      <c r="AM35" s="376">
        <v>9.3468395050941858E-2</v>
      </c>
      <c r="AN35" s="376">
        <v>6.5309402877433156E-2</v>
      </c>
    </row>
    <row r="36" spans="1:40">
      <c r="A36" s="65" t="str">
        <f t="shared" si="63"/>
        <v>Administrative and secretarial occupations</v>
      </c>
      <c r="B36" s="376">
        <f t="shared" si="66"/>
        <v>5.1648966792358033</v>
      </c>
      <c r="C36" s="376">
        <f t="shared" si="64"/>
        <v>4.9242860805967608</v>
      </c>
      <c r="D36" s="376">
        <f t="shared" si="65"/>
        <v>4.3697215862076586</v>
      </c>
      <c r="E36" s="376"/>
      <c r="F36" s="376">
        <v>1.9370680828497206E-2</v>
      </c>
      <c r="G36" s="376">
        <v>2.4875388441955009E-2</v>
      </c>
      <c r="H36" s="376">
        <v>3.3903538464353365E-2</v>
      </c>
      <c r="I36" s="376"/>
      <c r="J36" s="376">
        <v>0.22089016021959199</v>
      </c>
      <c r="K36" s="376">
        <v>0.28766634352398995</v>
      </c>
      <c r="L36" s="376">
        <v>0.40600934763816143</v>
      </c>
      <c r="M36" s="376"/>
      <c r="N36" s="376">
        <v>0.88873821163852473</v>
      </c>
      <c r="O36" s="376">
        <v>0.96231203184262959</v>
      </c>
      <c r="P36" s="376">
        <v>1.0108724189223783</v>
      </c>
      <c r="Q36" s="377"/>
      <c r="R36" s="376">
        <v>0.28192657351826433</v>
      </c>
      <c r="S36" s="376">
        <v>0.29673665452893677</v>
      </c>
      <c r="T36" s="376">
        <v>0.31991849264828515</v>
      </c>
      <c r="U36" s="377"/>
      <c r="V36" s="376">
        <v>0.37159039430286772</v>
      </c>
      <c r="W36" s="376">
        <v>0.3887083498927561</v>
      </c>
      <c r="X36" s="376">
        <v>0.40761368696060352</v>
      </c>
      <c r="Y36" s="377"/>
      <c r="Z36" s="376">
        <v>1.1923338695359174</v>
      </c>
      <c r="AA36" s="376">
        <v>1.2279455283156868</v>
      </c>
      <c r="AB36" s="376">
        <v>1.1586268100453336</v>
      </c>
      <c r="AC36" s="377"/>
      <c r="AD36" s="376">
        <v>1.4981672675804816</v>
      </c>
      <c r="AE36" s="376">
        <v>1.3423542894264797</v>
      </c>
      <c r="AF36" s="376">
        <v>0.8776237859403121</v>
      </c>
      <c r="AG36" s="377"/>
      <c r="AH36" s="376">
        <v>0.54119554557293215</v>
      </c>
      <c r="AI36" s="376">
        <v>0.27696832918470859</v>
      </c>
      <c r="AJ36" s="376">
        <v>6.270803634979108E-2</v>
      </c>
      <c r="AK36" s="377"/>
      <c r="AL36" s="376">
        <v>0.1506839760387258</v>
      </c>
      <c r="AM36" s="376">
        <v>0.11671916543961797</v>
      </c>
      <c r="AN36" s="376">
        <v>9.2445469238439382E-2</v>
      </c>
    </row>
    <row r="37" spans="1:40">
      <c r="A37" s="65" t="str">
        <f t="shared" si="63"/>
        <v>Skilled trades occupations</v>
      </c>
      <c r="B37" s="376">
        <f t="shared" si="66"/>
        <v>15.867480653334042</v>
      </c>
      <c r="C37" s="376">
        <f t="shared" si="64"/>
        <v>14.772017981469027</v>
      </c>
      <c r="D37" s="376">
        <f t="shared" si="65"/>
        <v>12.430057336616198</v>
      </c>
      <c r="E37" s="376"/>
      <c r="F37" s="376">
        <v>1.2867906069539869E-2</v>
      </c>
      <c r="G37" s="376">
        <v>1.7974840952869085E-2</v>
      </c>
      <c r="H37" s="376">
        <v>2.504054361407234E-2</v>
      </c>
      <c r="I37" s="376"/>
      <c r="J37" s="376">
        <v>0.28159289735575388</v>
      </c>
      <c r="K37" s="376">
        <v>0.38184679178605985</v>
      </c>
      <c r="L37" s="376">
        <v>0.53575412470336781</v>
      </c>
      <c r="M37" s="376"/>
      <c r="N37" s="376">
        <v>0.6850108427283782</v>
      </c>
      <c r="O37" s="376">
        <v>0.74640835530501759</v>
      </c>
      <c r="P37" s="376">
        <v>0.79798679752514845</v>
      </c>
      <c r="Q37" s="377"/>
      <c r="R37" s="376">
        <v>0.26206615363727287</v>
      </c>
      <c r="S37" s="376">
        <v>0.2690677181295299</v>
      </c>
      <c r="T37" s="376">
        <v>0.27626947721194128</v>
      </c>
      <c r="U37" s="377"/>
      <c r="V37" s="376">
        <v>1.1271449175835189</v>
      </c>
      <c r="W37" s="376">
        <v>1.0939349512623462</v>
      </c>
      <c r="X37" s="376">
        <v>1.0322987700061883</v>
      </c>
      <c r="Y37" s="377"/>
      <c r="Z37" s="376">
        <v>6.0413768218882238</v>
      </c>
      <c r="AA37" s="376">
        <v>6.09067120002093</v>
      </c>
      <c r="AB37" s="376">
        <v>5.7004752546892306</v>
      </c>
      <c r="AC37" s="377"/>
      <c r="AD37" s="376">
        <v>3.9203016872177199</v>
      </c>
      <c r="AE37" s="376">
        <v>3.8531236781452161</v>
      </c>
      <c r="AF37" s="376">
        <v>2.8491181962969798</v>
      </c>
      <c r="AG37" s="377"/>
      <c r="AH37" s="376">
        <v>2.3099538672876241</v>
      </c>
      <c r="AI37" s="376">
        <v>1.7984566791332446</v>
      </c>
      <c r="AJ37" s="376">
        <v>0.957292294354958</v>
      </c>
      <c r="AK37" s="377"/>
      <c r="AL37" s="376">
        <v>1.2271655595660098</v>
      </c>
      <c r="AM37" s="376">
        <v>0.52053376673381357</v>
      </c>
      <c r="AN37" s="376">
        <v>0.25582187821431279</v>
      </c>
    </row>
    <row r="38" spans="1:40">
      <c r="A38" s="65" t="str">
        <f t="shared" si="63"/>
        <v>Caring, leisure and other service occupations</v>
      </c>
      <c r="B38" s="376">
        <f t="shared" si="66"/>
        <v>0.80189876921076075</v>
      </c>
      <c r="C38" s="376">
        <f t="shared" si="64"/>
        <v>0.77599310073435468</v>
      </c>
      <c r="D38" s="376">
        <f t="shared" si="65"/>
        <v>0.72846473855211946</v>
      </c>
      <c r="E38" s="376"/>
      <c r="F38" s="376">
        <v>1.1377767255516496E-2</v>
      </c>
      <c r="G38" s="376">
        <v>1.5232620540562286E-2</v>
      </c>
      <c r="H38" s="376">
        <v>2.3994674755037165E-2</v>
      </c>
      <c r="I38" s="376"/>
      <c r="J38" s="376">
        <v>9.3927795000937602E-3</v>
      </c>
      <c r="K38" s="376">
        <v>1.0018844086037516E-2</v>
      </c>
      <c r="L38" s="376">
        <v>1.1163882701746831E-2</v>
      </c>
      <c r="M38" s="376"/>
      <c r="N38" s="376">
        <v>9.3116322809204899E-2</v>
      </c>
      <c r="O38" s="376">
        <v>9.086206821293942E-2</v>
      </c>
      <c r="P38" s="376">
        <v>8.6680827000596053E-2</v>
      </c>
      <c r="Q38" s="377"/>
      <c r="R38" s="376">
        <v>2.3574281874933021E-2</v>
      </c>
      <c r="S38" s="376">
        <v>2.0261182372109238E-2</v>
      </c>
      <c r="T38" s="376">
        <v>1.8685209101873511E-2</v>
      </c>
      <c r="U38" s="377"/>
      <c r="V38" s="376">
        <v>6.0206953512995154E-2</v>
      </c>
      <c r="W38" s="376">
        <v>5.3890515310026352E-2</v>
      </c>
      <c r="X38" s="376">
        <v>5.1581420618731E-2</v>
      </c>
      <c r="Y38" s="377"/>
      <c r="Z38" s="376">
        <v>9.8265887577003969E-2</v>
      </c>
      <c r="AA38" s="376">
        <v>8.6328799258585984E-2</v>
      </c>
      <c r="AB38" s="376">
        <v>7.2240571234357578E-2</v>
      </c>
      <c r="AC38" s="377"/>
      <c r="AD38" s="376">
        <v>0.15531992044605739</v>
      </c>
      <c r="AE38" s="376">
        <v>0.15521944986631567</v>
      </c>
      <c r="AF38" s="376">
        <v>0.12953268930325698</v>
      </c>
      <c r="AG38" s="377"/>
      <c r="AH38" s="376">
        <v>0.26390841673738247</v>
      </c>
      <c r="AI38" s="376">
        <v>0.26324855977516437</v>
      </c>
      <c r="AJ38" s="376">
        <v>0.25556453875191604</v>
      </c>
      <c r="AK38" s="377"/>
      <c r="AL38" s="376">
        <v>8.6736439497573717E-2</v>
      </c>
      <c r="AM38" s="376">
        <v>8.0931061312613878E-2</v>
      </c>
      <c r="AN38" s="376">
        <v>7.9020925084604302E-2</v>
      </c>
    </row>
    <row r="39" spans="1:40">
      <c r="A39" s="65" t="str">
        <f t="shared" si="63"/>
        <v>Sales and customer service occupations</v>
      </c>
      <c r="B39" s="376">
        <f t="shared" si="66"/>
        <v>2.0860064790356314</v>
      </c>
      <c r="C39" s="376">
        <f t="shared" si="64"/>
        <v>2.0192537804159767</v>
      </c>
      <c r="D39" s="376">
        <f t="shared" si="65"/>
        <v>1.9123242664415745</v>
      </c>
      <c r="E39" s="376"/>
      <c r="F39" s="376">
        <v>1.1070179076389299E-2</v>
      </c>
      <c r="G39" s="376">
        <v>1.4129443550605124E-2</v>
      </c>
      <c r="H39" s="376">
        <v>1.947246141123319E-2</v>
      </c>
      <c r="I39" s="376"/>
      <c r="J39" s="376">
        <v>9.635266297717146E-2</v>
      </c>
      <c r="K39" s="376">
        <v>0.12878939846761892</v>
      </c>
      <c r="L39" s="376">
        <v>0.17374093719233288</v>
      </c>
      <c r="M39" s="376"/>
      <c r="N39" s="376">
        <v>0.42279054195088878</v>
      </c>
      <c r="O39" s="376">
        <v>0.44845542350521855</v>
      </c>
      <c r="P39" s="376">
        <v>0.4917925575633717</v>
      </c>
      <c r="Q39" s="377"/>
      <c r="R39" s="376">
        <v>0.12669736190780853</v>
      </c>
      <c r="S39" s="376">
        <v>0.13986349869338371</v>
      </c>
      <c r="T39" s="376">
        <v>0.16012879226185389</v>
      </c>
      <c r="U39" s="377"/>
      <c r="V39" s="376">
        <v>0.1406405660550466</v>
      </c>
      <c r="W39" s="376">
        <v>0.14620513730367235</v>
      </c>
      <c r="X39" s="376">
        <v>0.15733677040048083</v>
      </c>
      <c r="Y39" s="377"/>
      <c r="Z39" s="376">
        <v>0.47530389140688611</v>
      </c>
      <c r="AA39" s="376">
        <v>0.43582306643158458</v>
      </c>
      <c r="AB39" s="376">
        <v>0.34737220262777813</v>
      </c>
      <c r="AC39" s="377"/>
      <c r="AD39" s="376">
        <v>0.37446086930504829</v>
      </c>
      <c r="AE39" s="376">
        <v>0.39728289999509081</v>
      </c>
      <c r="AF39" s="376">
        <v>0.39371662420668596</v>
      </c>
      <c r="AG39" s="377"/>
      <c r="AH39" s="376">
        <v>0.23832575020505203</v>
      </c>
      <c r="AI39" s="376">
        <v>0.16478519635882144</v>
      </c>
      <c r="AJ39" s="376">
        <v>5.6507967223124275E-2</v>
      </c>
      <c r="AK39" s="377"/>
      <c r="AL39" s="376">
        <v>0.20036465615134044</v>
      </c>
      <c r="AM39" s="376">
        <v>0.14391971610998133</v>
      </c>
      <c r="AN39" s="376">
        <v>0.1122559535547135</v>
      </c>
    </row>
    <row r="40" spans="1:40">
      <c r="A40" s="65" t="str">
        <f t="shared" si="63"/>
        <v>Process, plant and machine operatives</v>
      </c>
      <c r="B40" s="376">
        <f t="shared" si="66"/>
        <v>12.946839948040479</v>
      </c>
      <c r="C40" s="376">
        <f t="shared" si="64"/>
        <v>12.509110878026787</v>
      </c>
      <c r="D40" s="376">
        <f t="shared" si="65"/>
        <v>10.811491557548338</v>
      </c>
      <c r="E40" s="376"/>
      <c r="F40" s="376">
        <v>1.8647003301014364E-3</v>
      </c>
      <c r="G40" s="376">
        <v>2.3515252086067054E-3</v>
      </c>
      <c r="H40" s="376">
        <v>3.365756192043733E-3</v>
      </c>
      <c r="I40" s="376"/>
      <c r="J40" s="376">
        <v>0.12835173602041416</v>
      </c>
      <c r="K40" s="376">
        <v>0.2080508710279263</v>
      </c>
      <c r="L40" s="376">
        <v>0.37695783075526151</v>
      </c>
      <c r="M40" s="376"/>
      <c r="N40" s="376">
        <v>0.35428608921767468</v>
      </c>
      <c r="O40" s="376">
        <v>0.46479482589817789</v>
      </c>
      <c r="P40" s="376">
        <v>0.65460653670400271</v>
      </c>
      <c r="Q40" s="377"/>
      <c r="R40" s="375">
        <v>0.20856963987747384</v>
      </c>
      <c r="S40" s="375">
        <v>0.22752832039409787</v>
      </c>
      <c r="T40" s="375">
        <v>0.24390789735017948</v>
      </c>
      <c r="U40" s="377"/>
      <c r="V40" s="375">
        <v>0.38874744543467632</v>
      </c>
      <c r="W40" s="375">
        <v>0.44633414037832392</v>
      </c>
      <c r="X40" s="375">
        <v>0.45164747402054345</v>
      </c>
      <c r="Y40" s="377"/>
      <c r="Z40" s="375">
        <v>3.0776384519398405</v>
      </c>
      <c r="AA40" s="375">
        <v>3.6217406199282585</v>
      </c>
      <c r="AB40" s="375">
        <v>3.7947186865899356</v>
      </c>
      <c r="AC40" s="377"/>
      <c r="AD40" s="375">
        <v>3.9546487745132954</v>
      </c>
      <c r="AE40" s="375">
        <v>4.5658847097131652</v>
      </c>
      <c r="AF40" s="375">
        <v>4.1040655926902341</v>
      </c>
      <c r="AG40" s="377"/>
      <c r="AH40" s="375">
        <v>2.951877265243533</v>
      </c>
      <c r="AI40" s="375">
        <v>2.427755048025884</v>
      </c>
      <c r="AJ40" s="375">
        <v>1.0046027372816926</v>
      </c>
      <c r="AK40" s="377"/>
      <c r="AL40" s="375">
        <v>1.8808558454634687</v>
      </c>
      <c r="AM40" s="375">
        <v>0.54467081745234713</v>
      </c>
      <c r="AN40" s="375">
        <v>0.17761904596444503</v>
      </c>
    </row>
    <row r="41" spans="1:40">
      <c r="A41" s="364" t="str">
        <f t="shared" si="63"/>
        <v>Elementary occupations</v>
      </c>
      <c r="B41" s="378">
        <f t="shared" si="66"/>
        <v>3.6951749744433187</v>
      </c>
      <c r="C41" s="378">
        <f t="shared" si="64"/>
        <v>4.1937644646732304</v>
      </c>
      <c r="D41" s="378">
        <f>SUM(H41,L41,P41,T41,X41,AB41,AF41,AJ41,AN41)</f>
        <v>3.7258369951887236</v>
      </c>
      <c r="E41" s="378"/>
      <c r="F41" s="378">
        <v>5.4996622780953729E-3</v>
      </c>
      <c r="G41" s="378">
        <v>6.4859770143267832E-3</v>
      </c>
      <c r="H41" s="378">
        <v>9.7302671236644076E-3</v>
      </c>
      <c r="I41" s="378"/>
      <c r="J41" s="378">
        <v>3.4438420563254218E-2</v>
      </c>
      <c r="K41" s="378">
        <v>5.2480215523320731E-2</v>
      </c>
      <c r="L41" s="378">
        <v>8.3303626280319593E-2</v>
      </c>
      <c r="M41" s="378"/>
      <c r="N41" s="378">
        <v>0.13673515529927768</v>
      </c>
      <c r="O41" s="378">
        <v>0.24092677309915098</v>
      </c>
      <c r="P41" s="378">
        <v>0.33538205831343998</v>
      </c>
      <c r="Q41" s="379"/>
      <c r="R41" s="378">
        <v>9.2038167233853385E-2</v>
      </c>
      <c r="S41" s="378">
        <v>0.14609344623616102</v>
      </c>
      <c r="T41" s="378">
        <v>0.20067413480548343</v>
      </c>
      <c r="U41" s="379"/>
      <c r="V41" s="378">
        <v>7.0611951181010296E-2</v>
      </c>
      <c r="W41" s="378">
        <v>0.11496356865008488</v>
      </c>
      <c r="X41" s="378">
        <v>0.14501068132428774</v>
      </c>
      <c r="Y41" s="379"/>
      <c r="Z41" s="378">
        <v>0.41614761070145301</v>
      </c>
      <c r="AA41" s="378">
        <v>0.53697647047046926</v>
      </c>
      <c r="AB41" s="378">
        <v>0.54002701204101644</v>
      </c>
      <c r="AC41" s="379"/>
      <c r="AD41" s="378">
        <v>0.90385129340681847</v>
      </c>
      <c r="AE41" s="378">
        <v>1.2283016660960735</v>
      </c>
      <c r="AF41" s="378">
        <v>1.1391285776867177</v>
      </c>
      <c r="AG41" s="379"/>
      <c r="AH41" s="378">
        <v>1.2807030150320196</v>
      </c>
      <c r="AI41" s="378">
        <v>1.4087847982833519</v>
      </c>
      <c r="AJ41" s="378">
        <v>1.034041254350178</v>
      </c>
      <c r="AK41" s="379"/>
      <c r="AL41" s="378">
        <v>0.75514969874753679</v>
      </c>
      <c r="AM41" s="378">
        <v>0.45875154930029077</v>
      </c>
      <c r="AN41" s="378">
        <v>0.23853938326361618</v>
      </c>
    </row>
    <row r="42" spans="1:40">
      <c r="A42" s="65"/>
      <c r="B42" s="363"/>
      <c r="C42" s="363"/>
      <c r="D42" s="363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</row>
    <row r="43" spans="1:40" ht="15.75">
      <c r="A43" s="18" t="str">
        <f>CONCATENATE(A1," (Continued)")</f>
        <v>Basic Table 1  Employment by Industry Sector, Occupation Group and Qualification, 2020-2035, Black Country (Continued)</v>
      </c>
      <c r="B43" s="65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</row>
    <row r="44" spans="1:40" ht="12.75" customHeight="1">
      <c r="A44" s="18"/>
      <c r="B44" s="65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</row>
    <row r="45" spans="1:40" ht="12.75" customHeight="1">
      <c r="A45" s="18"/>
      <c r="B45" s="65"/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</row>
    <row r="46" spans="1:40" ht="26.25" customHeight="1">
      <c r="A46" s="372"/>
      <c r="B46" s="372"/>
      <c r="C46" s="380" t="str">
        <f>B4</f>
        <v>All qualifications</v>
      </c>
      <c r="D46" s="372"/>
      <c r="E46" s="372"/>
      <c r="F46" s="372"/>
      <c r="G46" s="380" t="str">
        <f>F4</f>
        <v>RQF8 Doctorate</v>
      </c>
      <c r="H46" s="372"/>
      <c r="I46" s="372"/>
      <c r="J46" s="372"/>
      <c r="K46" s="380" t="str">
        <f>J4</f>
        <v>RQF7 Other higher degree</v>
      </c>
      <c r="L46" s="372"/>
      <c r="M46" s="372"/>
      <c r="N46" s="373" t="str">
        <f>N4</f>
        <v>RQF6 First degree</v>
      </c>
      <c r="O46" s="373"/>
      <c r="P46" s="373"/>
      <c r="Q46" s="372"/>
      <c r="R46" s="373" t="str">
        <f>R4</f>
        <v>RQF5 Foundation degree;Nursing;Teaching</v>
      </c>
      <c r="S46" s="373"/>
      <c r="T46" s="373"/>
      <c r="U46" s="372"/>
      <c r="V46" s="373" t="str">
        <f>V4</f>
        <v>RQF4 HE below degree level</v>
      </c>
      <c r="W46" s="373"/>
      <c r="X46" s="373"/>
      <c r="Y46" s="372"/>
      <c r="Z46" s="373" t="str">
        <f>Z4</f>
        <v>RQF3 A level &amp; equivalent</v>
      </c>
      <c r="AA46" s="373"/>
      <c r="AB46" s="373"/>
      <c r="AC46" s="372"/>
      <c r="AD46" s="373" t="str">
        <f>AD4</f>
        <v>RQF2 GCSE(A-C) &amp; equivalent</v>
      </c>
      <c r="AE46" s="373"/>
      <c r="AF46" s="373"/>
      <c r="AG46" s="372"/>
      <c r="AH46" s="373" t="str">
        <f>AH4</f>
        <v>RQF1 GCSE(below grade C) &amp; equivalent</v>
      </c>
      <c r="AI46" s="373"/>
      <c r="AJ46" s="373"/>
      <c r="AK46" s="372"/>
      <c r="AL46" s="373" t="str">
        <f>AL4</f>
        <v>No Qualification</v>
      </c>
      <c r="AM46" s="373"/>
      <c r="AN46" s="373"/>
    </row>
    <row r="47" spans="1:40">
      <c r="A47" s="364"/>
      <c r="B47" s="33">
        <f>B5</f>
        <v>2020</v>
      </c>
      <c r="C47" s="33">
        <f>C5</f>
        <v>2025</v>
      </c>
      <c r="D47" s="33">
        <f>D5</f>
        <v>2035</v>
      </c>
      <c r="E47" s="364"/>
      <c r="F47" s="28">
        <f>B47</f>
        <v>2020</v>
      </c>
      <c r="G47" s="28">
        <f>C47</f>
        <v>2025</v>
      </c>
      <c r="H47" s="28">
        <f>D47</f>
        <v>2035</v>
      </c>
      <c r="I47" s="364"/>
      <c r="J47" s="28">
        <f>B47</f>
        <v>2020</v>
      </c>
      <c r="K47" s="28">
        <f>C47</f>
        <v>2025</v>
      </c>
      <c r="L47" s="28">
        <f>D47</f>
        <v>2035</v>
      </c>
      <c r="M47" s="364"/>
      <c r="N47" s="28">
        <f>B47</f>
        <v>2020</v>
      </c>
      <c r="O47" s="28">
        <f>C47</f>
        <v>2025</v>
      </c>
      <c r="P47" s="28">
        <f>D47</f>
        <v>2035</v>
      </c>
      <c r="Q47" s="364"/>
      <c r="R47" s="28">
        <f>F47</f>
        <v>2020</v>
      </c>
      <c r="S47" s="28">
        <f>G47</f>
        <v>2025</v>
      </c>
      <c r="T47" s="28">
        <f>H47</f>
        <v>2035</v>
      </c>
      <c r="U47" s="364"/>
      <c r="V47" s="28">
        <f>J47</f>
        <v>2020</v>
      </c>
      <c r="W47" s="28">
        <f>K47</f>
        <v>2025</v>
      </c>
      <c r="X47" s="28">
        <f>L47</f>
        <v>2035</v>
      </c>
      <c r="Y47" s="364"/>
      <c r="Z47" s="28">
        <f>N47</f>
        <v>2020</v>
      </c>
      <c r="AA47" s="28">
        <f>O47</f>
        <v>2025</v>
      </c>
      <c r="AB47" s="28">
        <f>P47</f>
        <v>2035</v>
      </c>
      <c r="AC47" s="364"/>
      <c r="AD47" s="28">
        <f>R47</f>
        <v>2020</v>
      </c>
      <c r="AE47" s="28">
        <f>S47</f>
        <v>2025</v>
      </c>
      <c r="AF47" s="28">
        <f>T47</f>
        <v>2035</v>
      </c>
      <c r="AG47" s="364"/>
      <c r="AH47" s="28">
        <f>V47</f>
        <v>2020</v>
      </c>
      <c r="AI47" s="28">
        <f>W47</f>
        <v>2025</v>
      </c>
      <c r="AJ47" s="28">
        <f>X47</f>
        <v>2035</v>
      </c>
      <c r="AK47" s="364"/>
      <c r="AL47" s="28">
        <f>Z47</f>
        <v>2020</v>
      </c>
      <c r="AM47" s="28">
        <f>AA47</f>
        <v>2025</v>
      </c>
      <c r="AN47" s="28">
        <f>AB47</f>
        <v>2035</v>
      </c>
    </row>
    <row r="48" spans="1:40">
      <c r="A48" s="65"/>
      <c r="B48" s="363"/>
      <c r="C48" s="363"/>
      <c r="D48" s="363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  <c r="AN48" s="65"/>
    </row>
    <row r="49" spans="1:40">
      <c r="A49" s="1" t="str">
        <f>name!C6</f>
        <v>Construction</v>
      </c>
      <c r="B49" s="65"/>
      <c r="C49" s="65"/>
      <c r="D49" s="65"/>
      <c r="E49" s="165"/>
      <c r="F49" s="165"/>
      <c r="G49" s="165"/>
      <c r="H49" s="165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  <c r="AD49" s="165"/>
      <c r="AE49" s="165"/>
      <c r="AF49" s="165"/>
      <c r="AG49" s="165"/>
      <c r="AH49" s="165"/>
      <c r="AI49" s="165"/>
      <c r="AJ49" s="165"/>
      <c r="AK49" s="165"/>
      <c r="AL49" s="165"/>
      <c r="AM49" s="165"/>
      <c r="AN49" s="165"/>
    </row>
    <row r="50" spans="1:40">
      <c r="A50" s="65" t="str">
        <f t="shared" ref="A50:A59" si="67">A8</f>
        <v>All occupations</v>
      </c>
      <c r="B50" s="375">
        <f>SUM(B51:B59)</f>
        <v>37.014999999999965</v>
      </c>
      <c r="C50" s="375">
        <f>SUM(C51:C59)</f>
        <v>36.904000000000003</v>
      </c>
      <c r="D50" s="375">
        <f>SUM(D51:D59)</f>
        <v>37.449999999999946</v>
      </c>
      <c r="E50" s="376"/>
      <c r="F50" s="375">
        <f>SUM(F51:F59)</f>
        <v>8.5356155031193343E-2</v>
      </c>
      <c r="G50" s="375">
        <f>SUM(G51:G59)</f>
        <v>0.11598527644390103</v>
      </c>
      <c r="H50" s="375">
        <f>SUM(H51:H59)</f>
        <v>0.21010318510339709</v>
      </c>
      <c r="I50" s="376"/>
      <c r="J50" s="375">
        <f>SUM(J51:J59)</f>
        <v>1.4212171203367399</v>
      </c>
      <c r="K50" s="375">
        <f>SUM(K51:K59)</f>
        <v>1.9148240974119601</v>
      </c>
      <c r="L50" s="375">
        <f>SUM(L51:L59)</f>
        <v>3.0970352107124515</v>
      </c>
      <c r="M50" s="376"/>
      <c r="N50" s="375">
        <f>SUM(N51:N59)</f>
        <v>2.8723124673265796</v>
      </c>
      <c r="O50" s="375">
        <f>SUM(O51:O59)</f>
        <v>3.0213038702368911</v>
      </c>
      <c r="P50" s="375">
        <f>SUM(P51:P59)</f>
        <v>3.4775355251240545</v>
      </c>
      <c r="Q50" s="376"/>
      <c r="R50" s="375">
        <f>SUM(R51:R59)</f>
        <v>1.1110359345139003</v>
      </c>
      <c r="S50" s="375">
        <f>SUM(S51:S59)</f>
        <v>1.1867926671600968</v>
      </c>
      <c r="T50" s="375">
        <f>SUM(T51:T59)</f>
        <v>1.4719920020553834</v>
      </c>
      <c r="U50" s="376"/>
      <c r="V50" s="375">
        <f>SUM(V51:V59)</f>
        <v>2.1867277586761227</v>
      </c>
      <c r="W50" s="375">
        <f>SUM(W51:W59)</f>
        <v>2.2633580084345986</v>
      </c>
      <c r="X50" s="375">
        <f>SUM(X51:X59)</f>
        <v>2.6985459587890661</v>
      </c>
      <c r="Y50" s="376"/>
      <c r="Z50" s="375">
        <f>SUM(Z51:Z59)</f>
        <v>11.095422836279688</v>
      </c>
      <c r="AA50" s="375">
        <f>SUM(AA51:AA59)</f>
        <v>11.414987084989498</v>
      </c>
      <c r="AB50" s="375">
        <f>SUM(AB51:AB59)</f>
        <v>11.949482014742683</v>
      </c>
      <c r="AC50" s="376"/>
      <c r="AD50" s="375">
        <f>SUM(AD51:AD59)</f>
        <v>9.5894610665231284</v>
      </c>
      <c r="AE50" s="375">
        <f>SUM(AE51:AE59)</f>
        <v>10.471040338122027</v>
      </c>
      <c r="AF50" s="375">
        <f>SUM(AF51:AF59)</f>
        <v>10.493181349266417</v>
      </c>
      <c r="AG50" s="376"/>
      <c r="AH50" s="375">
        <f>SUM(AH51:AH59)</f>
        <v>5.5085978714102843</v>
      </c>
      <c r="AI50" s="375">
        <f>SUM(AI51:AI59)</f>
        <v>4.8560817921817181</v>
      </c>
      <c r="AJ50" s="375">
        <f>SUM(AJ51:AJ59)</f>
        <v>3.5071986085810654</v>
      </c>
      <c r="AK50" s="376"/>
      <c r="AL50" s="375">
        <f>SUM(AL51:AL59)</f>
        <v>3.1448687899023255</v>
      </c>
      <c r="AM50" s="375">
        <f>SUM(AM51:AM59)</f>
        <v>1.6596268650193062</v>
      </c>
      <c r="AN50" s="375">
        <f>SUM(AN51:AN59)</f>
        <v>0.54492614562542252</v>
      </c>
    </row>
    <row r="51" spans="1:40">
      <c r="A51" s="65" t="str">
        <f t="shared" si="67"/>
        <v>Managers, directors and senior officials</v>
      </c>
      <c r="B51" s="376">
        <f>SUM(F51,J51,N51,R51,V51,Z51,AD51,AH51,AL51)</f>
        <v>3.3585950511358451</v>
      </c>
      <c r="C51" s="376">
        <f t="shared" ref="C51:D51" si="68">SUM(G51,K51,O51,S51,W51,AA51,AE51,AI51,AM51)</f>
        <v>2.9945881995622718</v>
      </c>
      <c r="D51" s="376">
        <f t="shared" si="68"/>
        <v>3.4157589212002621</v>
      </c>
      <c r="E51" s="376"/>
      <c r="F51" s="376">
        <v>8.596922587334483E-3</v>
      </c>
      <c r="G51" s="376">
        <v>1.0884843264687746E-2</v>
      </c>
      <c r="H51" s="376">
        <v>1.8602356594327515E-2</v>
      </c>
      <c r="I51" s="376"/>
      <c r="J51" s="376">
        <v>0.34658594090146394</v>
      </c>
      <c r="K51" s="376">
        <v>0.41275049701048178</v>
      </c>
      <c r="L51" s="376">
        <v>0.71479567183054782</v>
      </c>
      <c r="M51" s="376"/>
      <c r="N51" s="376">
        <v>0.54893782686347503</v>
      </c>
      <c r="O51" s="376">
        <v>0.49130111279138067</v>
      </c>
      <c r="P51" s="376">
        <v>0.52239568734805852</v>
      </c>
      <c r="Q51" s="376"/>
      <c r="R51" s="376">
        <v>0.16171396775678326</v>
      </c>
      <c r="S51" s="376">
        <v>0.1405507554158571</v>
      </c>
      <c r="T51" s="376">
        <v>0.15197533647918937</v>
      </c>
      <c r="U51" s="376"/>
      <c r="V51" s="376">
        <v>0.3564890317398125</v>
      </c>
      <c r="W51" s="376">
        <v>0.31719092752880412</v>
      </c>
      <c r="X51" s="376">
        <v>0.36640790471318707</v>
      </c>
      <c r="Y51" s="376"/>
      <c r="Z51" s="376">
        <v>0.8612178393093558</v>
      </c>
      <c r="AA51" s="376">
        <v>0.77838774171917235</v>
      </c>
      <c r="AB51" s="376">
        <v>0.97916743390402694</v>
      </c>
      <c r="AC51" s="376"/>
      <c r="AD51" s="376">
        <v>0.49177543947272701</v>
      </c>
      <c r="AE51" s="376">
        <v>0.42611925444195703</v>
      </c>
      <c r="AF51" s="376">
        <v>0.3740562807642655</v>
      </c>
      <c r="AG51" s="376"/>
      <c r="AH51" s="376">
        <v>0.33356949544272163</v>
      </c>
      <c r="AI51" s="376">
        <v>0.24836645176326966</v>
      </c>
      <c r="AJ51" s="376">
        <v>0.16937308662985523</v>
      </c>
      <c r="AK51" s="376"/>
      <c r="AL51" s="376">
        <v>0.24970858706217117</v>
      </c>
      <c r="AM51" s="376">
        <v>0.16903661562666109</v>
      </c>
      <c r="AN51" s="376">
        <v>0.1189851629368044</v>
      </c>
    </row>
    <row r="52" spans="1:40">
      <c r="A52" s="65" t="str">
        <f t="shared" si="67"/>
        <v>Professional occupations</v>
      </c>
      <c r="B52" s="376">
        <f t="shared" ref="B52:B59" si="69">SUM(F52,J52,N52,R52,V52,Z52,AD52,AH52,AL52)</f>
        <v>4.381820726064503</v>
      </c>
      <c r="C52" s="376">
        <f t="shared" ref="C52:C59" si="70">SUM(G52,K52,O52,S52,W52,AA52,AE52,AI52,AM52)</f>
        <v>4.7144737855086349</v>
      </c>
      <c r="D52" s="376">
        <f t="shared" ref="D52:D59" si="71">SUM(H52,L52,P52,T52,X52,AB52,AF52,AJ52,AN52)</f>
        <v>5.4389305617287542</v>
      </c>
      <c r="E52" s="376"/>
      <c r="F52" s="376">
        <v>3.9770703666938696E-2</v>
      </c>
      <c r="G52" s="376">
        <v>5.1990822783596805E-2</v>
      </c>
      <c r="H52" s="376">
        <v>7.2359790094956883E-2</v>
      </c>
      <c r="I52" s="376"/>
      <c r="J52" s="376">
        <v>0.52930462494110397</v>
      </c>
      <c r="K52" s="376">
        <v>0.73587812163476318</v>
      </c>
      <c r="L52" s="376">
        <v>1.1342145623104662</v>
      </c>
      <c r="M52" s="376"/>
      <c r="N52" s="376">
        <v>0.87471599665273225</v>
      </c>
      <c r="O52" s="376">
        <v>0.84422935568496205</v>
      </c>
      <c r="P52" s="376">
        <v>0.85469099361756384</v>
      </c>
      <c r="Q52" s="376"/>
      <c r="R52" s="376">
        <v>0.13393057803464586</v>
      </c>
      <c r="S52" s="376">
        <v>0.10437796992160053</v>
      </c>
      <c r="T52" s="376">
        <v>0.11544259382426668</v>
      </c>
      <c r="U52" s="376"/>
      <c r="V52" s="376">
        <v>0.37040768260368934</v>
      </c>
      <c r="W52" s="376">
        <v>0.31214122458971322</v>
      </c>
      <c r="X52" s="376">
        <v>0.23608905948109629</v>
      </c>
      <c r="Y52" s="376"/>
      <c r="Z52" s="376">
        <v>1.2729583957485289</v>
      </c>
      <c r="AA52" s="376">
        <v>1.4567423443627636</v>
      </c>
      <c r="AB52" s="376">
        <v>1.8531812340622531</v>
      </c>
      <c r="AC52" s="376"/>
      <c r="AD52" s="376">
        <v>0.72929793047200642</v>
      </c>
      <c r="AE52" s="376">
        <v>0.87261674590108862</v>
      </c>
      <c r="AF52" s="376">
        <v>0.97355284629016547</v>
      </c>
      <c r="AG52" s="376"/>
      <c r="AH52" s="376">
        <v>0.25465467701020567</v>
      </c>
      <c r="AI52" s="376">
        <v>0.21698525849620134</v>
      </c>
      <c r="AJ52" s="376">
        <v>0.14318158112600049</v>
      </c>
      <c r="AK52" s="376"/>
      <c r="AL52" s="376">
        <v>0.1767801369346518</v>
      </c>
      <c r="AM52" s="376">
        <v>0.11951194213394627</v>
      </c>
      <c r="AN52" s="376">
        <v>5.621790092198517E-2</v>
      </c>
    </row>
    <row r="53" spans="1:40">
      <c r="A53" s="65" t="str">
        <f t="shared" si="67"/>
        <v>Associate professional occupations</v>
      </c>
      <c r="B53" s="376">
        <f t="shared" si="69"/>
        <v>2.0304095854349655</v>
      </c>
      <c r="C53" s="376">
        <f t="shared" si="70"/>
        <v>1.9496744175973906</v>
      </c>
      <c r="D53" s="376">
        <f t="shared" si="71"/>
        <v>2.1598016118100851</v>
      </c>
      <c r="E53" s="376"/>
      <c r="F53" s="376">
        <v>4.649626862554844E-3</v>
      </c>
      <c r="G53" s="376">
        <v>5.8314014588035923E-3</v>
      </c>
      <c r="H53" s="376">
        <v>1.0055327276547647E-2</v>
      </c>
      <c r="I53" s="376"/>
      <c r="J53" s="376">
        <v>0.16128995947816654</v>
      </c>
      <c r="K53" s="376">
        <v>0.21367400750333951</v>
      </c>
      <c r="L53" s="376">
        <v>0.36340588386056488</v>
      </c>
      <c r="M53" s="376"/>
      <c r="N53" s="376">
        <v>0.32592952245275431</v>
      </c>
      <c r="O53" s="376">
        <v>0.32311503990075574</v>
      </c>
      <c r="P53" s="376">
        <v>0.36334744834772936</v>
      </c>
      <c r="Q53" s="376"/>
      <c r="R53" s="376">
        <v>0.14213382002439004</v>
      </c>
      <c r="S53" s="376">
        <v>0.15000795398323416</v>
      </c>
      <c r="T53" s="376">
        <v>0.18700785648944127</v>
      </c>
      <c r="U53" s="376"/>
      <c r="V53" s="376">
        <v>0.29416902832332231</v>
      </c>
      <c r="W53" s="376">
        <v>0.28290594881761366</v>
      </c>
      <c r="X53" s="376">
        <v>0.33203650466087459</v>
      </c>
      <c r="Y53" s="376"/>
      <c r="Z53" s="376">
        <v>0.3806462317224511</v>
      </c>
      <c r="AA53" s="376">
        <v>0.31552127899230914</v>
      </c>
      <c r="AB53" s="376">
        <v>0.29444028082774504</v>
      </c>
      <c r="AC53" s="376"/>
      <c r="AD53" s="376">
        <v>0.35849562857287176</v>
      </c>
      <c r="AE53" s="376">
        <v>0.35536131581810604</v>
      </c>
      <c r="AF53" s="376">
        <v>0.38057006406332677</v>
      </c>
      <c r="AG53" s="376"/>
      <c r="AH53" s="376">
        <v>0.28634612438282953</v>
      </c>
      <c r="AI53" s="376">
        <v>0.25625676511704343</v>
      </c>
      <c r="AJ53" s="376">
        <v>0.19401488170433581</v>
      </c>
      <c r="AK53" s="376"/>
      <c r="AL53" s="376">
        <v>7.6749643615625293E-2</v>
      </c>
      <c r="AM53" s="376">
        <v>4.7000706006185104E-2</v>
      </c>
      <c r="AN53" s="376">
        <v>3.4923364579519826E-2</v>
      </c>
    </row>
    <row r="54" spans="1:40">
      <c r="A54" s="65" t="str">
        <f t="shared" si="67"/>
        <v>Administrative and secretarial occupations</v>
      </c>
      <c r="B54" s="376">
        <f t="shared" si="69"/>
        <v>2.9010138688997964</v>
      </c>
      <c r="C54" s="376">
        <f t="shared" si="70"/>
        <v>2.8282584288154875</v>
      </c>
      <c r="D54" s="376">
        <f t="shared" si="71"/>
        <v>2.6956468097313864</v>
      </c>
      <c r="E54" s="376"/>
      <c r="F54" s="376">
        <v>2.3212585792164238E-2</v>
      </c>
      <c r="G54" s="376">
        <v>3.4680669667287917E-2</v>
      </c>
      <c r="H54" s="376">
        <v>8.8351092302666787E-2</v>
      </c>
      <c r="I54" s="376"/>
      <c r="J54" s="376">
        <v>0.16127848236168782</v>
      </c>
      <c r="K54" s="376">
        <v>0.23109405978168798</v>
      </c>
      <c r="L54" s="376">
        <v>0.36001187604015988</v>
      </c>
      <c r="M54" s="376"/>
      <c r="N54" s="376">
        <v>0.44720845450085023</v>
      </c>
      <c r="O54" s="376">
        <v>0.53667978528372218</v>
      </c>
      <c r="P54" s="376">
        <v>0.70051531518562271</v>
      </c>
      <c r="Q54" s="376"/>
      <c r="R54" s="376">
        <v>0.28147494051984873</v>
      </c>
      <c r="S54" s="376">
        <v>0.31590629777577761</v>
      </c>
      <c r="T54" s="376">
        <v>0.41683072645111707</v>
      </c>
      <c r="U54" s="376"/>
      <c r="V54" s="376">
        <v>0.15411336304687945</v>
      </c>
      <c r="W54" s="376">
        <v>0.16669258699915035</v>
      </c>
      <c r="X54" s="376">
        <v>0.24687661625716645</v>
      </c>
      <c r="Y54" s="376"/>
      <c r="Z54" s="376">
        <v>0.492839298614409</v>
      </c>
      <c r="AA54" s="376">
        <v>0.44087761652274393</v>
      </c>
      <c r="AB54" s="376">
        <v>0.31638284317482895</v>
      </c>
      <c r="AC54" s="376"/>
      <c r="AD54" s="376">
        <v>0.46694834991633227</v>
      </c>
      <c r="AE54" s="376">
        <v>0.37451974027775792</v>
      </c>
      <c r="AF54" s="376">
        <v>0.18295109833490039</v>
      </c>
      <c r="AG54" s="376"/>
      <c r="AH54" s="376">
        <v>0.66137868214627649</v>
      </c>
      <c r="AI54" s="376">
        <v>0.64533523642926405</v>
      </c>
      <c r="AJ54" s="376">
        <v>0.37207212651212346</v>
      </c>
      <c r="AK54" s="376"/>
      <c r="AL54" s="376">
        <v>0.21255971200134821</v>
      </c>
      <c r="AM54" s="376">
        <v>8.2472436078095512E-2</v>
      </c>
      <c r="AN54" s="376">
        <v>1.1655115472800506E-2</v>
      </c>
    </row>
    <row r="55" spans="1:40">
      <c r="A55" s="65" t="str">
        <f t="shared" si="67"/>
        <v>Skilled trades occupations</v>
      </c>
      <c r="B55" s="376">
        <f t="shared" si="69"/>
        <v>18.510631440875201</v>
      </c>
      <c r="C55" s="376">
        <f t="shared" si="70"/>
        <v>18.235025536099684</v>
      </c>
      <c r="D55" s="376">
        <f t="shared" si="71"/>
        <v>17.013953475951443</v>
      </c>
      <c r="E55" s="376"/>
      <c r="F55" s="376">
        <v>1.972061679245944E-3</v>
      </c>
      <c r="G55" s="376">
        <v>2.6469514485697029E-3</v>
      </c>
      <c r="H55" s="376">
        <v>3.5285403409370968E-3</v>
      </c>
      <c r="I55" s="376"/>
      <c r="J55" s="376">
        <v>0.13211843245374866</v>
      </c>
      <c r="K55" s="376">
        <v>0.18849472323449798</v>
      </c>
      <c r="L55" s="376">
        <v>0.2950481212779697</v>
      </c>
      <c r="M55" s="376"/>
      <c r="N55" s="376">
        <v>0.47518526754672052</v>
      </c>
      <c r="O55" s="376">
        <v>0.57778519821279362</v>
      </c>
      <c r="P55" s="376">
        <v>0.70983939944960772</v>
      </c>
      <c r="Q55" s="376"/>
      <c r="R55" s="376">
        <v>0.30328486748044575</v>
      </c>
      <c r="S55" s="376">
        <v>0.36090327824186458</v>
      </c>
      <c r="T55" s="376">
        <v>0.43928817005198117</v>
      </c>
      <c r="U55" s="376"/>
      <c r="V55" s="376">
        <v>0.79125410890676351</v>
      </c>
      <c r="W55" s="376">
        <v>0.90872579160691092</v>
      </c>
      <c r="X55" s="376">
        <v>1.1674824280728635</v>
      </c>
      <c r="Y55" s="376"/>
      <c r="Z55" s="376">
        <v>6.5527351025248093</v>
      </c>
      <c r="AA55" s="376">
        <v>6.5573189738481847</v>
      </c>
      <c r="AB55" s="376">
        <v>6.0614935557889167</v>
      </c>
      <c r="AC55" s="376"/>
      <c r="AD55" s="376">
        <v>5.8154763852931231</v>
      </c>
      <c r="AE55" s="376">
        <v>6.399365382526442</v>
      </c>
      <c r="AF55" s="376">
        <v>6.3186793058745128</v>
      </c>
      <c r="AG55" s="376"/>
      <c r="AH55" s="376">
        <v>2.6608357504525659</v>
      </c>
      <c r="AI55" s="376">
        <v>2.3185523387409019</v>
      </c>
      <c r="AJ55" s="376">
        <v>1.8268922918823034</v>
      </c>
      <c r="AK55" s="376"/>
      <c r="AL55" s="376">
        <v>1.7777694645377782</v>
      </c>
      <c r="AM55" s="376">
        <v>0.92123289823952026</v>
      </c>
      <c r="AN55" s="376">
        <v>0.19170166321235071</v>
      </c>
    </row>
    <row r="56" spans="1:40">
      <c r="A56" s="65" t="str">
        <f t="shared" si="67"/>
        <v>Caring, leisure and other service occupations</v>
      </c>
      <c r="B56" s="376">
        <f t="shared" si="69"/>
        <v>8.397592561711327E-2</v>
      </c>
      <c r="C56" s="376">
        <f t="shared" si="70"/>
        <v>7.7033632130407148E-2</v>
      </c>
      <c r="D56" s="376">
        <f t="shared" si="71"/>
        <v>8.3167700186319193E-2</v>
      </c>
      <c r="E56" s="376"/>
      <c r="F56" s="376">
        <v>3.5891556322976204E-5</v>
      </c>
      <c r="G56" s="376">
        <v>4.401241698951985E-5</v>
      </c>
      <c r="H56" s="376">
        <v>9.6969322106474129E-5</v>
      </c>
      <c r="I56" s="376"/>
      <c r="J56" s="376">
        <v>4.9399379877649811E-3</v>
      </c>
      <c r="K56" s="376">
        <v>5.6867047421764426E-3</v>
      </c>
      <c r="L56" s="376">
        <v>7.7858564525092062E-3</v>
      </c>
      <c r="M56" s="376"/>
      <c r="N56" s="376">
        <v>5.6608750314588487E-3</v>
      </c>
      <c r="O56" s="376">
        <v>5.3289163112820639E-3</v>
      </c>
      <c r="P56" s="376">
        <v>6.1418478088521994E-3</v>
      </c>
      <c r="Q56" s="376"/>
      <c r="R56" s="376">
        <v>1.1298062093172423E-3</v>
      </c>
      <c r="S56" s="376">
        <v>1.0903649537123226E-3</v>
      </c>
      <c r="T56" s="376">
        <v>1.3069543986466722E-3</v>
      </c>
      <c r="U56" s="376"/>
      <c r="V56" s="376">
        <v>2.4408638669893594E-3</v>
      </c>
      <c r="W56" s="376">
        <v>2.3904200723703557E-3</v>
      </c>
      <c r="X56" s="376">
        <v>2.6603216577736227E-3</v>
      </c>
      <c r="Y56" s="376"/>
      <c r="Z56" s="376">
        <v>2.9864573476826615E-2</v>
      </c>
      <c r="AA56" s="376">
        <v>3.2266270398715179E-2</v>
      </c>
      <c r="AB56" s="376">
        <v>3.9651948123521998E-2</v>
      </c>
      <c r="AC56" s="376"/>
      <c r="AD56" s="376">
        <v>9.2831198984882832E-3</v>
      </c>
      <c r="AE56" s="376">
        <v>8.5553854086967245E-3</v>
      </c>
      <c r="AF56" s="376">
        <v>9.6903620072613678E-3</v>
      </c>
      <c r="AG56" s="376"/>
      <c r="AH56" s="376">
        <v>1.5774814031947835E-2</v>
      </c>
      <c r="AI56" s="376">
        <v>1.2416425050436825E-2</v>
      </c>
      <c r="AJ56" s="376">
        <v>1.0722702638638898E-2</v>
      </c>
      <c r="AK56" s="376"/>
      <c r="AL56" s="376">
        <v>1.4846043557997124E-2</v>
      </c>
      <c r="AM56" s="376">
        <v>9.2551327760277101E-3</v>
      </c>
      <c r="AN56" s="376">
        <v>5.1107377770087722E-3</v>
      </c>
    </row>
    <row r="57" spans="1:40">
      <c r="A57" s="65" t="str">
        <f t="shared" si="67"/>
        <v>Sales and customer service occupations</v>
      </c>
      <c r="B57" s="376">
        <f t="shared" si="69"/>
        <v>0.69772238280973387</v>
      </c>
      <c r="C57" s="376">
        <f t="shared" si="70"/>
        <v>0.7160234621952124</v>
      </c>
      <c r="D57" s="376">
        <f t="shared" si="71"/>
        <v>0.7352049914257861</v>
      </c>
      <c r="E57" s="376"/>
      <c r="F57" s="376">
        <v>1.267361114735059E-3</v>
      </c>
      <c r="G57" s="376">
        <v>1.7539487863339487E-3</v>
      </c>
      <c r="H57" s="376">
        <v>3.5310455061040376E-3</v>
      </c>
      <c r="I57" s="376"/>
      <c r="J57" s="376">
        <v>3.92170355558124E-2</v>
      </c>
      <c r="K57" s="376">
        <v>5.0874007708363637E-2</v>
      </c>
      <c r="L57" s="376">
        <v>7.3574635825756129E-2</v>
      </c>
      <c r="M57" s="376"/>
      <c r="N57" s="376">
        <v>0.11113209495031902</v>
      </c>
      <c r="O57" s="376">
        <v>0.12462204034423718</v>
      </c>
      <c r="P57" s="376">
        <v>0.14482814080496062</v>
      </c>
      <c r="Q57" s="376"/>
      <c r="R57" s="376">
        <v>3.1967609512555888E-2</v>
      </c>
      <c r="S57" s="376">
        <v>3.9124247056766918E-2</v>
      </c>
      <c r="T57" s="376">
        <v>4.7120580735659785E-2</v>
      </c>
      <c r="U57" s="376"/>
      <c r="V57" s="376">
        <v>4.0492470729689575E-2</v>
      </c>
      <c r="W57" s="376">
        <v>4.5352051624248498E-2</v>
      </c>
      <c r="X57" s="376">
        <v>5.1725011512674023E-2</v>
      </c>
      <c r="Y57" s="376"/>
      <c r="Z57" s="376">
        <v>0.24956594866440873</v>
      </c>
      <c r="AA57" s="376">
        <v>0.26931277844770579</v>
      </c>
      <c r="AB57" s="376">
        <v>0.29911996570463434</v>
      </c>
      <c r="AC57" s="376"/>
      <c r="AD57" s="376">
        <v>4.3403412798944038E-2</v>
      </c>
      <c r="AE57" s="376">
        <v>3.950449367173401E-2</v>
      </c>
      <c r="AF57" s="376">
        <v>2.1648665679023012E-2</v>
      </c>
      <c r="AG57" s="376"/>
      <c r="AH57" s="376">
        <v>7.1907691103894916E-2</v>
      </c>
      <c r="AI57" s="376">
        <v>6.1856457352908151E-2</v>
      </c>
      <c r="AJ57" s="376">
        <v>2.9124083323985767E-2</v>
      </c>
      <c r="AK57" s="376"/>
      <c r="AL57" s="376">
        <v>0.10876875837937418</v>
      </c>
      <c r="AM57" s="376">
        <v>8.3623437202914194E-2</v>
      </c>
      <c r="AN57" s="376">
        <v>6.4532862332988397E-2</v>
      </c>
    </row>
    <row r="58" spans="1:40">
      <c r="A58" s="65" t="str">
        <f t="shared" si="67"/>
        <v>Process, plant and machine operatives</v>
      </c>
      <c r="B58" s="376">
        <f t="shared" si="69"/>
        <v>2.7562178440691261</v>
      </c>
      <c r="C58" s="376">
        <f t="shared" si="70"/>
        <v>2.9228111263503123</v>
      </c>
      <c r="D58" s="376">
        <f t="shared" si="71"/>
        <v>3.0784535432522997</v>
      </c>
      <c r="E58" s="376"/>
      <c r="F58" s="376">
        <v>5.6555144353839151E-3</v>
      </c>
      <c r="G58" s="376">
        <v>7.9281567658935626E-3</v>
      </c>
      <c r="H58" s="376">
        <v>1.3162751298684204E-2</v>
      </c>
      <c r="I58" s="376"/>
      <c r="J58" s="376">
        <v>2.7759494788050443E-2</v>
      </c>
      <c r="K58" s="376">
        <v>4.5470516360058992E-2</v>
      </c>
      <c r="L58" s="376">
        <v>8.8817780139575281E-2</v>
      </c>
      <c r="M58" s="376"/>
      <c r="N58" s="376">
        <v>4.6561218239389822E-2</v>
      </c>
      <c r="O58" s="376">
        <v>6.5017685395039854E-2</v>
      </c>
      <c r="P58" s="376">
        <v>0.10765503339717901</v>
      </c>
      <c r="Q58" s="376"/>
      <c r="R58" s="376">
        <v>4.4189391663275526E-2</v>
      </c>
      <c r="S58" s="376">
        <v>6.2016892674783525E-2</v>
      </c>
      <c r="T58" s="376">
        <v>9.8727041303694335E-2</v>
      </c>
      <c r="U58" s="376"/>
      <c r="V58" s="376">
        <v>0.10682450271219628</v>
      </c>
      <c r="W58" s="376">
        <v>0.12693950154860498</v>
      </c>
      <c r="X58" s="376">
        <v>0.16001450244352286</v>
      </c>
      <c r="Y58" s="376"/>
      <c r="Z58" s="376">
        <v>0.69139778384127271</v>
      </c>
      <c r="AA58" s="376">
        <v>0.82094506449679561</v>
      </c>
      <c r="AB58" s="376">
        <v>1.0170145188887756</v>
      </c>
      <c r="AC58" s="376"/>
      <c r="AD58" s="376">
        <v>0.98698544382220033</v>
      </c>
      <c r="AE58" s="376">
        <v>1.1554131209357412</v>
      </c>
      <c r="AF58" s="376">
        <v>1.2217125747072906</v>
      </c>
      <c r="AG58" s="376"/>
      <c r="AH58" s="376">
        <v>0.64173272853297192</v>
      </c>
      <c r="AI58" s="376">
        <v>0.54134178743121597</v>
      </c>
      <c r="AJ58" s="376">
        <v>0.34114523311231243</v>
      </c>
      <c r="AK58" s="376"/>
      <c r="AL58" s="376">
        <v>0.2051117660343848</v>
      </c>
      <c r="AM58" s="376">
        <v>9.773840074217871E-2</v>
      </c>
      <c r="AN58" s="376">
        <v>3.0204107961265162E-2</v>
      </c>
    </row>
    <row r="59" spans="1:40">
      <c r="A59" s="65" t="str">
        <f t="shared" si="67"/>
        <v>Elementary occupations</v>
      </c>
      <c r="B59" s="376">
        <f t="shared" si="69"/>
        <v>2.2946131750936782</v>
      </c>
      <c r="C59" s="376">
        <f t="shared" si="70"/>
        <v>2.466111411740596</v>
      </c>
      <c r="D59" s="376">
        <f t="shared" si="71"/>
        <v>2.8290823847136077</v>
      </c>
      <c r="E59" s="376"/>
      <c r="F59" s="376">
        <v>1.9548733651318699E-4</v>
      </c>
      <c r="G59" s="376">
        <v>2.2446985173822285E-4</v>
      </c>
      <c r="H59" s="376">
        <v>4.1531236706641631E-4</v>
      </c>
      <c r="I59" s="376"/>
      <c r="J59" s="376">
        <v>1.8723211868941193E-2</v>
      </c>
      <c r="K59" s="376">
        <v>3.0901459436590534E-2</v>
      </c>
      <c r="L59" s="376">
        <v>5.9380822974902089E-2</v>
      </c>
      <c r="M59" s="376"/>
      <c r="N59" s="376">
        <v>3.6981211088879133E-2</v>
      </c>
      <c r="O59" s="376">
        <v>5.3224736312717569E-2</v>
      </c>
      <c r="P59" s="376">
        <v>6.8121659164480389E-2</v>
      </c>
      <c r="Q59" s="376"/>
      <c r="R59" s="376">
        <v>1.1210953312637903E-2</v>
      </c>
      <c r="S59" s="376">
        <v>1.2814907136500008E-2</v>
      </c>
      <c r="T59" s="376">
        <v>1.4292742321387298E-2</v>
      </c>
      <c r="U59" s="376"/>
      <c r="V59" s="376">
        <v>7.0536706746780559E-2</v>
      </c>
      <c r="W59" s="376">
        <v>0.10101955564718254</v>
      </c>
      <c r="X59" s="376">
        <v>0.13525360998990782</v>
      </c>
      <c r="Y59" s="376"/>
      <c r="Z59" s="376">
        <v>0.56419766237762603</v>
      </c>
      <c r="AA59" s="376">
        <v>0.74361501620110881</v>
      </c>
      <c r="AB59" s="376">
        <v>1.0890302342679823</v>
      </c>
      <c r="AC59" s="376"/>
      <c r="AD59" s="376">
        <v>0.68779535627643462</v>
      </c>
      <c r="AE59" s="376">
        <v>0.83958489914050438</v>
      </c>
      <c r="AF59" s="376">
        <v>1.0103201515456721</v>
      </c>
      <c r="AG59" s="376"/>
      <c r="AH59" s="376">
        <v>0.58239790830687044</v>
      </c>
      <c r="AI59" s="376">
        <v>0.55497107180047645</v>
      </c>
      <c r="AJ59" s="376">
        <v>0.42067262165150954</v>
      </c>
      <c r="AK59" s="376"/>
      <c r="AL59" s="376">
        <v>0.32257467777899484</v>
      </c>
      <c r="AM59" s="376">
        <v>0.12975529621377752</v>
      </c>
      <c r="AN59" s="376">
        <v>3.1595230430699589E-2</v>
      </c>
    </row>
    <row r="60" spans="1:40">
      <c r="A60" s="65"/>
      <c r="B60" s="376"/>
      <c r="C60" s="376"/>
      <c r="D60" s="376"/>
      <c r="E60" s="376"/>
      <c r="F60" s="376"/>
      <c r="G60" s="376"/>
      <c r="H60" s="376"/>
      <c r="I60" s="376"/>
      <c r="J60" s="376"/>
      <c r="K60" s="376"/>
      <c r="L60" s="376"/>
      <c r="M60" s="376"/>
      <c r="N60" s="376"/>
      <c r="O60" s="376"/>
      <c r="P60" s="376"/>
      <c r="Q60" s="376"/>
      <c r="R60" s="376"/>
      <c r="S60" s="376"/>
      <c r="T60" s="376"/>
      <c r="U60" s="376"/>
      <c r="V60" s="376"/>
      <c r="W60" s="376"/>
      <c r="X60" s="376"/>
      <c r="Y60" s="376"/>
      <c r="Z60" s="376"/>
      <c r="AA60" s="376"/>
      <c r="AB60" s="376"/>
      <c r="AC60" s="376"/>
      <c r="AD60" s="376"/>
      <c r="AE60" s="376"/>
      <c r="AF60" s="376"/>
      <c r="AG60" s="376"/>
      <c r="AH60" s="376"/>
      <c r="AI60" s="376"/>
      <c r="AJ60" s="376"/>
      <c r="AK60" s="376"/>
      <c r="AL60" s="376"/>
      <c r="AM60" s="376"/>
      <c r="AN60" s="376"/>
    </row>
    <row r="61" spans="1:40">
      <c r="A61" s="1" t="str">
        <f>name!C7</f>
        <v>Trade, accomod. and transport</v>
      </c>
      <c r="B61" s="377"/>
      <c r="C61" s="377"/>
      <c r="D61" s="377"/>
      <c r="E61" s="376"/>
      <c r="F61" s="376"/>
      <c r="G61" s="376"/>
      <c r="H61" s="376"/>
      <c r="I61" s="376"/>
      <c r="J61" s="376"/>
      <c r="K61" s="376"/>
      <c r="L61" s="376"/>
      <c r="M61" s="376"/>
      <c r="N61" s="376"/>
      <c r="O61" s="376"/>
      <c r="P61" s="376"/>
      <c r="Q61" s="376"/>
      <c r="R61" s="376"/>
      <c r="S61" s="376"/>
      <c r="T61" s="376"/>
      <c r="U61" s="376"/>
      <c r="V61" s="376"/>
      <c r="W61" s="376"/>
      <c r="X61" s="376"/>
      <c r="Y61" s="376"/>
      <c r="Z61" s="376"/>
      <c r="AA61" s="376"/>
      <c r="AB61" s="376"/>
      <c r="AC61" s="376"/>
      <c r="AD61" s="376"/>
      <c r="AE61" s="376"/>
      <c r="AF61" s="376"/>
      <c r="AG61" s="376"/>
      <c r="AH61" s="376"/>
      <c r="AI61" s="376"/>
      <c r="AJ61" s="376"/>
      <c r="AK61" s="376"/>
      <c r="AL61" s="376"/>
      <c r="AM61" s="376"/>
      <c r="AN61" s="376"/>
    </row>
    <row r="62" spans="1:40">
      <c r="A62" s="65" t="str">
        <f t="shared" ref="A62:A71" si="72">A8</f>
        <v>All occupations</v>
      </c>
      <c r="B62" s="375">
        <f>SUM(B63:B71)</f>
        <v>144.72400000000007</v>
      </c>
      <c r="C62" s="375">
        <f>SUM(C63:C71)</f>
        <v>150.00999999999996</v>
      </c>
      <c r="D62" s="375">
        <f>SUM(D63:D71)</f>
        <v>155.95599999999988</v>
      </c>
      <c r="E62" s="376"/>
      <c r="F62" s="375">
        <f>SUM(F63:F71)</f>
        <v>0.43358437262113558</v>
      </c>
      <c r="G62" s="375">
        <f>SUM(G63:G71)</f>
        <v>0.64032759765618086</v>
      </c>
      <c r="H62" s="375">
        <f>SUM(H63:H71)</f>
        <v>1.221218239010945</v>
      </c>
      <c r="I62" s="376"/>
      <c r="J62" s="375">
        <f>SUM(J63:J71)</f>
        <v>5.199867890952488</v>
      </c>
      <c r="K62" s="375">
        <f>SUM(K63:K71)</f>
        <v>7.3882621396555557</v>
      </c>
      <c r="L62" s="375">
        <f>SUM(L63:L71)</f>
        <v>13.694227498965668</v>
      </c>
      <c r="M62" s="376"/>
      <c r="N62" s="375">
        <f>SUM(N63:N71)</f>
        <v>18.355295597942714</v>
      </c>
      <c r="O62" s="375">
        <f>SUM(O63:O71)</f>
        <v>21.309379279544228</v>
      </c>
      <c r="P62" s="375">
        <f>SUM(P63:P71)</f>
        <v>28.55052326877032</v>
      </c>
      <c r="Q62" s="376"/>
      <c r="R62" s="375">
        <f>SUM(R63:R71)</f>
        <v>5.4638510253587436</v>
      </c>
      <c r="S62" s="375">
        <f>SUM(S63:S71)</f>
        <v>6.1620895095866004</v>
      </c>
      <c r="T62" s="375">
        <f>SUM(T63:T71)</f>
        <v>8.3008347578328383</v>
      </c>
      <c r="U62" s="376"/>
      <c r="V62" s="375">
        <f>SUM(V63:V71)</f>
        <v>6.5100204982302898</v>
      </c>
      <c r="W62" s="375">
        <f>SUM(W63:W71)</f>
        <v>7.2257808369024454</v>
      </c>
      <c r="X62" s="375">
        <f>SUM(X63:X71)</f>
        <v>9.2123820452425029</v>
      </c>
      <c r="Y62" s="376"/>
      <c r="Z62" s="375">
        <f>SUM(Z63:Z71)</f>
        <v>32.679894061116975</v>
      </c>
      <c r="AA62" s="375">
        <f>SUM(AA63:AA71)</f>
        <v>35.369590242671144</v>
      </c>
      <c r="AB62" s="375">
        <f>SUM(AB63:AB71)</f>
        <v>38.213182439458926</v>
      </c>
      <c r="AC62" s="376"/>
      <c r="AD62" s="375">
        <f>SUM(AD63:AD71)</f>
        <v>36.624070193482758</v>
      </c>
      <c r="AE62" s="375">
        <f>SUM(AE63:AE71)</f>
        <v>40.337471472556956</v>
      </c>
      <c r="AF62" s="375">
        <f>SUM(AF63:AF71)</f>
        <v>37.736038291997161</v>
      </c>
      <c r="AG62" s="376"/>
      <c r="AH62" s="375">
        <f>SUM(AH63:AH71)</f>
        <v>25.053922388613827</v>
      </c>
      <c r="AI62" s="375">
        <f>SUM(AI63:AI71)</f>
        <v>22.338689818872826</v>
      </c>
      <c r="AJ62" s="375">
        <f>SUM(AJ63:AJ71)</f>
        <v>13.570962075492101</v>
      </c>
      <c r="AK62" s="376"/>
      <c r="AL62" s="375">
        <f>SUM(AL63:AL71)</f>
        <v>14.403493971681147</v>
      </c>
      <c r="AM62" s="375">
        <f>SUM(AM63:AM71)</f>
        <v>9.2384091025540318</v>
      </c>
      <c r="AN62" s="375">
        <f>SUM(AN63:AN71)</f>
        <v>5.4566313832294062</v>
      </c>
    </row>
    <row r="63" spans="1:40">
      <c r="A63" s="65" t="str">
        <f t="shared" si="72"/>
        <v>Managers, directors and senior officials</v>
      </c>
      <c r="B63" s="376">
        <f>SUM(F63,J63,N63,R63,V63,Z63,AD63,AH63,AL63)</f>
        <v>19.60291365785061</v>
      </c>
      <c r="C63" s="376">
        <f t="shared" ref="C63:C71" si="73">SUM(G63,K63,O63,S63,W63,AA63,AE63,AI63,AM63)</f>
        <v>18.906490556185492</v>
      </c>
      <c r="D63" s="376">
        <f t="shared" ref="D63:D71" si="74">SUM(H63,L63,P63,T63,X63,AB63,AF63,AJ63,AN63)</f>
        <v>21.626485527941011</v>
      </c>
      <c r="E63" s="376"/>
      <c r="F63" s="376">
        <v>6.967447574993936E-2</v>
      </c>
      <c r="G63" s="376">
        <v>9.6846830704234985E-2</v>
      </c>
      <c r="H63" s="376">
        <v>0.19081612501860509</v>
      </c>
      <c r="I63" s="376"/>
      <c r="J63" s="376">
        <v>1.1363844274413262</v>
      </c>
      <c r="K63" s="376">
        <v>1.4532881153466073</v>
      </c>
      <c r="L63" s="376">
        <v>2.7079573766201106</v>
      </c>
      <c r="M63" s="376"/>
      <c r="N63" s="376">
        <v>4.2231877127501303</v>
      </c>
      <c r="O63" s="376">
        <v>4.3890317894700361</v>
      </c>
      <c r="P63" s="376">
        <v>5.7068281990917473</v>
      </c>
      <c r="Q63" s="376"/>
      <c r="R63" s="376">
        <v>0.82580893915730003</v>
      </c>
      <c r="S63" s="376">
        <v>0.7944400926108629</v>
      </c>
      <c r="T63" s="376">
        <v>1.0439809179852437</v>
      </c>
      <c r="U63" s="376"/>
      <c r="V63" s="376">
        <v>1.123448009017725</v>
      </c>
      <c r="W63" s="376">
        <v>1.0773720083660958</v>
      </c>
      <c r="X63" s="376">
        <v>1.2643600912032233</v>
      </c>
      <c r="Y63" s="376"/>
      <c r="Z63" s="376">
        <v>3.9832477787750449</v>
      </c>
      <c r="AA63" s="376">
        <v>3.9057183596339997</v>
      </c>
      <c r="AB63" s="376">
        <v>4.5468418828942267</v>
      </c>
      <c r="AC63" s="376"/>
      <c r="AD63" s="376">
        <v>4.23468863770273</v>
      </c>
      <c r="AE63" s="376">
        <v>4.1085365131088221</v>
      </c>
      <c r="AF63" s="376">
        <v>3.920418828690178</v>
      </c>
      <c r="AG63" s="376"/>
      <c r="AH63" s="376">
        <v>3.2375635823032747</v>
      </c>
      <c r="AI63" s="376">
        <v>2.6148874440187995</v>
      </c>
      <c r="AJ63" s="376">
        <v>1.8892132581777816</v>
      </c>
      <c r="AK63" s="376"/>
      <c r="AL63" s="376">
        <v>0.76891009495313756</v>
      </c>
      <c r="AM63" s="376">
        <v>0.46636940292603418</v>
      </c>
      <c r="AN63" s="376">
        <v>0.35606884825989082</v>
      </c>
    </row>
    <row r="64" spans="1:40">
      <c r="A64" s="65" t="str">
        <f t="shared" si="72"/>
        <v>Professional occupations</v>
      </c>
      <c r="B64" s="376">
        <f t="shared" ref="B64:B71" si="75">SUM(F64,J64,N64,R64,V64,Z64,AD64,AH64,AL64)</f>
        <v>12.823305753094225</v>
      </c>
      <c r="C64" s="376">
        <f t="shared" si="73"/>
        <v>14.297103546028989</v>
      </c>
      <c r="D64" s="376">
        <f t="shared" si="74"/>
        <v>16.671817025140236</v>
      </c>
      <c r="E64" s="376"/>
      <c r="F64" s="376">
        <v>0.17758321549450157</v>
      </c>
      <c r="G64" s="376">
        <v>0.26843786829190103</v>
      </c>
      <c r="H64" s="376">
        <v>0.49979333903312662</v>
      </c>
      <c r="I64" s="376"/>
      <c r="J64" s="376">
        <v>1.3850733294033741</v>
      </c>
      <c r="K64" s="376">
        <v>1.9866227249754969</v>
      </c>
      <c r="L64" s="376">
        <v>3.4996381166299191</v>
      </c>
      <c r="M64" s="376"/>
      <c r="N64" s="376">
        <v>3.1158949226245563</v>
      </c>
      <c r="O64" s="376">
        <v>3.650404498040666</v>
      </c>
      <c r="P64" s="376">
        <v>4.5895236002564577</v>
      </c>
      <c r="Q64" s="376"/>
      <c r="R64" s="376">
        <v>0.50929268386965898</v>
      </c>
      <c r="S64" s="376">
        <v>0.50091129705777326</v>
      </c>
      <c r="T64" s="376">
        <v>0.53175309700688</v>
      </c>
      <c r="U64" s="376"/>
      <c r="V64" s="376">
        <v>0.68315205543876967</v>
      </c>
      <c r="W64" s="376">
        <v>0.76168692002084037</v>
      </c>
      <c r="X64" s="376">
        <v>0.89511403538364609</v>
      </c>
      <c r="Y64" s="376"/>
      <c r="Z64" s="376">
        <v>2.804577440472535</v>
      </c>
      <c r="AA64" s="376">
        <v>3.1959367856485104</v>
      </c>
      <c r="AB64" s="376">
        <v>3.6365122866866195</v>
      </c>
      <c r="AC64" s="376"/>
      <c r="AD64" s="376">
        <v>2.2420673748945821</v>
      </c>
      <c r="AE64" s="376">
        <v>2.3463039544362476</v>
      </c>
      <c r="AF64" s="376">
        <v>1.9588990773292867</v>
      </c>
      <c r="AG64" s="376"/>
      <c r="AH64" s="376">
        <v>1.3750948562365188</v>
      </c>
      <c r="AI64" s="376">
        <v>1.2419195046231211</v>
      </c>
      <c r="AJ64" s="376">
        <v>0.74300676883565031</v>
      </c>
      <c r="AK64" s="376"/>
      <c r="AL64" s="376">
        <v>0.53056987465972916</v>
      </c>
      <c r="AM64" s="376">
        <v>0.34487999293443239</v>
      </c>
      <c r="AN64" s="376">
        <v>0.31757670397865168</v>
      </c>
    </row>
    <row r="65" spans="1:40">
      <c r="A65" s="65" t="str">
        <f t="shared" si="72"/>
        <v>Associate professional occupations</v>
      </c>
      <c r="B65" s="376">
        <f t="shared" si="75"/>
        <v>10.999566940709785</v>
      </c>
      <c r="C65" s="376">
        <f t="shared" si="73"/>
        <v>11.237952916584966</v>
      </c>
      <c r="D65" s="376">
        <f t="shared" si="74"/>
        <v>12.450930209662506</v>
      </c>
      <c r="E65" s="376"/>
      <c r="F65" s="376">
        <v>5.8011259225309753E-2</v>
      </c>
      <c r="G65" s="376">
        <v>7.6470444242140528E-2</v>
      </c>
      <c r="H65" s="376">
        <v>0.13864673989773421</v>
      </c>
      <c r="I65" s="376"/>
      <c r="J65" s="376">
        <v>0.559008379297253</v>
      </c>
      <c r="K65" s="376">
        <v>0.74884859981912288</v>
      </c>
      <c r="L65" s="376">
        <v>1.2601073910906275</v>
      </c>
      <c r="M65" s="376"/>
      <c r="N65" s="376">
        <v>2.1030857153347728</v>
      </c>
      <c r="O65" s="376">
        <v>2.2634393445604695</v>
      </c>
      <c r="P65" s="376">
        <v>2.8457003711351323</v>
      </c>
      <c r="Q65" s="376"/>
      <c r="R65" s="376">
        <v>0.50212998858468894</v>
      </c>
      <c r="S65" s="376">
        <v>0.54378979984868092</v>
      </c>
      <c r="T65" s="376">
        <v>0.7367115517024998</v>
      </c>
      <c r="U65" s="376"/>
      <c r="V65" s="376">
        <v>0.62662518071062379</v>
      </c>
      <c r="W65" s="376">
        <v>0.6639493928897775</v>
      </c>
      <c r="X65" s="376">
        <v>0.82226240827792474</v>
      </c>
      <c r="Y65" s="376"/>
      <c r="Z65" s="376">
        <v>2.6460785854790601</v>
      </c>
      <c r="AA65" s="376">
        <v>2.7938432004543259</v>
      </c>
      <c r="AB65" s="376">
        <v>3.1319161517902763</v>
      </c>
      <c r="AC65" s="376"/>
      <c r="AD65" s="376">
        <v>2.4749573512430847</v>
      </c>
      <c r="AE65" s="376">
        <v>2.6640769481630451</v>
      </c>
      <c r="AF65" s="376">
        <v>2.6103145194415855</v>
      </c>
      <c r="AG65" s="376"/>
      <c r="AH65" s="376">
        <v>1.4460526391084048</v>
      </c>
      <c r="AI65" s="376">
        <v>1.1458077761632777</v>
      </c>
      <c r="AJ65" s="376">
        <v>0.63191382981526989</v>
      </c>
      <c r="AK65" s="376"/>
      <c r="AL65" s="376">
        <v>0.58361784172658782</v>
      </c>
      <c r="AM65" s="376">
        <v>0.33772741044412657</v>
      </c>
      <c r="AN65" s="376">
        <v>0.27335724651145588</v>
      </c>
    </row>
    <row r="66" spans="1:40">
      <c r="A66" s="65" t="str">
        <f t="shared" si="72"/>
        <v>Administrative and secretarial occupations</v>
      </c>
      <c r="B66" s="376">
        <f t="shared" si="75"/>
        <v>14.755112755683989</v>
      </c>
      <c r="C66" s="376">
        <f t="shared" si="73"/>
        <v>15.869777409623397</v>
      </c>
      <c r="D66" s="376">
        <f t="shared" si="74"/>
        <v>16.962350177448066</v>
      </c>
      <c r="E66" s="376"/>
      <c r="F66" s="376">
        <v>3.0202417812953825E-2</v>
      </c>
      <c r="G66" s="376">
        <v>4.6179261633334266E-2</v>
      </c>
      <c r="H66" s="376">
        <v>8.5407034423091402E-2</v>
      </c>
      <c r="I66" s="376"/>
      <c r="J66" s="376">
        <v>0.58753088288610056</v>
      </c>
      <c r="K66" s="376">
        <v>0.87081090095969349</v>
      </c>
      <c r="L66" s="376">
        <v>1.5713706741439792</v>
      </c>
      <c r="M66" s="376"/>
      <c r="N66" s="376">
        <v>2.2009045261954823</v>
      </c>
      <c r="O66" s="376">
        <v>2.7440337974559683</v>
      </c>
      <c r="P66" s="376">
        <v>3.8734219466765514</v>
      </c>
      <c r="Q66" s="376"/>
      <c r="R66" s="376">
        <v>0.76017322473773308</v>
      </c>
      <c r="S66" s="376">
        <v>0.88065886716738773</v>
      </c>
      <c r="T66" s="376">
        <v>1.2046914934868356</v>
      </c>
      <c r="U66" s="376"/>
      <c r="V66" s="376">
        <v>0.77295104016512806</v>
      </c>
      <c r="W66" s="376">
        <v>0.84833084902435341</v>
      </c>
      <c r="X66" s="376">
        <v>1.0881997219798711</v>
      </c>
      <c r="Y66" s="376"/>
      <c r="Z66" s="376">
        <v>3.5070877593674221</v>
      </c>
      <c r="AA66" s="376">
        <v>3.8752813477992016</v>
      </c>
      <c r="AB66" s="376">
        <v>4.0494040194985894</v>
      </c>
      <c r="AC66" s="376"/>
      <c r="AD66" s="376">
        <v>4.4013286600036796</v>
      </c>
      <c r="AE66" s="376">
        <v>4.958044652285766</v>
      </c>
      <c r="AF66" s="376">
        <v>4.4840792792294595</v>
      </c>
      <c r="AG66" s="376"/>
      <c r="AH66" s="376">
        <v>1.864175449610441</v>
      </c>
      <c r="AI66" s="376">
        <v>1.2697890648129655</v>
      </c>
      <c r="AJ66" s="376">
        <v>0.40991015097276173</v>
      </c>
      <c r="AK66" s="376"/>
      <c r="AL66" s="376">
        <v>0.63075879490504783</v>
      </c>
      <c r="AM66" s="376">
        <v>0.37664866848472656</v>
      </c>
      <c r="AN66" s="376">
        <v>0.19586585703692591</v>
      </c>
    </row>
    <row r="67" spans="1:40">
      <c r="A67" s="65" t="str">
        <f t="shared" si="72"/>
        <v>Skilled trades occupations</v>
      </c>
      <c r="B67" s="376">
        <f t="shared" si="75"/>
        <v>11.799010285639234</v>
      </c>
      <c r="C67" s="376">
        <f t="shared" si="73"/>
        <v>11.954632909335976</v>
      </c>
      <c r="D67" s="376">
        <f t="shared" si="74"/>
        <v>11.623603909737966</v>
      </c>
      <c r="E67" s="376"/>
      <c r="F67" s="376">
        <v>5.1821118375434162E-3</v>
      </c>
      <c r="G67" s="376">
        <v>7.5425891972228567E-3</v>
      </c>
      <c r="H67" s="376">
        <v>1.6737593517261232E-2</v>
      </c>
      <c r="I67" s="376"/>
      <c r="J67" s="376">
        <v>0.16280570892669466</v>
      </c>
      <c r="K67" s="376">
        <v>0.24816304437383405</v>
      </c>
      <c r="L67" s="376">
        <v>0.47544581814527931</v>
      </c>
      <c r="M67" s="376"/>
      <c r="N67" s="376">
        <v>0.55636111536206989</v>
      </c>
      <c r="O67" s="376">
        <v>0.70025917446074937</v>
      </c>
      <c r="P67" s="376">
        <v>0.94333320669190945</v>
      </c>
      <c r="Q67" s="376"/>
      <c r="R67" s="376">
        <v>0.2965714981230842</v>
      </c>
      <c r="S67" s="376">
        <v>0.32926389414701496</v>
      </c>
      <c r="T67" s="376">
        <v>0.41925292228779598</v>
      </c>
      <c r="U67" s="376"/>
      <c r="V67" s="376">
        <v>0.57970986796155821</v>
      </c>
      <c r="W67" s="376">
        <v>0.65897437892130328</v>
      </c>
      <c r="X67" s="376">
        <v>0.82067146660174373</v>
      </c>
      <c r="Y67" s="376"/>
      <c r="Z67" s="376">
        <v>3.9764369762295675</v>
      </c>
      <c r="AA67" s="376">
        <v>4.2925838393634255</v>
      </c>
      <c r="AB67" s="376">
        <v>4.3991904473879844</v>
      </c>
      <c r="AC67" s="376"/>
      <c r="AD67" s="376">
        <v>2.9064080224069198</v>
      </c>
      <c r="AE67" s="376">
        <v>3.0902957643506022</v>
      </c>
      <c r="AF67" s="376">
        <v>2.9934603632443455</v>
      </c>
      <c r="AG67" s="376"/>
      <c r="AH67" s="376">
        <v>1.8709725850246206</v>
      </c>
      <c r="AI67" s="376">
        <v>1.7290689718549705</v>
      </c>
      <c r="AJ67" s="376">
        <v>1.0303697154501397</v>
      </c>
      <c r="AK67" s="376"/>
      <c r="AL67" s="376">
        <v>1.4445623997671744</v>
      </c>
      <c r="AM67" s="376">
        <v>0.89848125266685352</v>
      </c>
      <c r="AN67" s="376">
        <v>0.52514237641150474</v>
      </c>
    </row>
    <row r="68" spans="1:40">
      <c r="A68" s="65" t="str">
        <f t="shared" si="72"/>
        <v>Caring, leisure and other service occupations</v>
      </c>
      <c r="B68" s="376">
        <f t="shared" si="75"/>
        <v>3.8409367728645725</v>
      </c>
      <c r="C68" s="376">
        <f t="shared" si="73"/>
        <v>3.7127606865073277</v>
      </c>
      <c r="D68" s="376">
        <f t="shared" si="74"/>
        <v>4.1772518361539026</v>
      </c>
      <c r="E68" s="376"/>
      <c r="F68" s="376">
        <v>5.2514343399271352E-3</v>
      </c>
      <c r="G68" s="376">
        <v>8.3594218040464116E-3</v>
      </c>
      <c r="H68" s="376">
        <v>1.8282105631933276E-2</v>
      </c>
      <c r="I68" s="376"/>
      <c r="J68" s="376">
        <v>8.2032543186732379E-2</v>
      </c>
      <c r="K68" s="376">
        <v>0.11105244980159977</v>
      </c>
      <c r="L68" s="376">
        <v>0.21787186995109006</v>
      </c>
      <c r="M68" s="376"/>
      <c r="N68" s="376">
        <v>0.45599119157942342</v>
      </c>
      <c r="O68" s="376">
        <v>0.49594076810858456</v>
      </c>
      <c r="P68" s="376">
        <v>0.64557025693208114</v>
      </c>
      <c r="Q68" s="376"/>
      <c r="R68" s="376">
        <v>0.38200385454284014</v>
      </c>
      <c r="S68" s="376">
        <v>0.42800053466354471</v>
      </c>
      <c r="T68" s="376">
        <v>0.64172390590037909</v>
      </c>
      <c r="U68" s="376"/>
      <c r="V68" s="376">
        <v>0.3476023045948835</v>
      </c>
      <c r="W68" s="376">
        <v>0.35488667791784767</v>
      </c>
      <c r="X68" s="376">
        <v>0.49575374168881192</v>
      </c>
      <c r="Y68" s="376"/>
      <c r="Z68" s="376">
        <v>0.7475453214694705</v>
      </c>
      <c r="AA68" s="376">
        <v>0.75116278989710272</v>
      </c>
      <c r="AB68" s="376">
        <v>0.84094138362224091</v>
      </c>
      <c r="AC68" s="376"/>
      <c r="AD68" s="376">
        <v>0.92849275507156392</v>
      </c>
      <c r="AE68" s="376">
        <v>0.93180941444514798</v>
      </c>
      <c r="AF68" s="376">
        <v>0.90707899350297061</v>
      </c>
      <c r="AG68" s="376"/>
      <c r="AH68" s="376">
        <v>0.45878181052315314</v>
      </c>
      <c r="AI68" s="376">
        <v>0.4052267353339325</v>
      </c>
      <c r="AJ68" s="376">
        <v>0.26636752386606272</v>
      </c>
      <c r="AK68" s="376"/>
      <c r="AL68" s="376">
        <v>0.43323555755657811</v>
      </c>
      <c r="AM68" s="376">
        <v>0.22632189453552157</v>
      </c>
      <c r="AN68" s="376">
        <v>0.14366205505833271</v>
      </c>
    </row>
    <row r="69" spans="1:40">
      <c r="A69" s="65" t="str">
        <f t="shared" si="72"/>
        <v>Sales and customer service occupations</v>
      </c>
      <c r="B69" s="376">
        <f t="shared" si="75"/>
        <v>26.617469007736624</v>
      </c>
      <c r="C69" s="376">
        <f t="shared" si="73"/>
        <v>25.940162931905697</v>
      </c>
      <c r="D69" s="376">
        <f t="shared" si="74"/>
        <v>25.180984193866461</v>
      </c>
      <c r="E69" s="376"/>
      <c r="F69" s="376">
        <v>2.5531968529848674E-2</v>
      </c>
      <c r="G69" s="376">
        <v>3.4578489963556953E-2</v>
      </c>
      <c r="H69" s="376">
        <v>5.4943442248896579E-2</v>
      </c>
      <c r="I69" s="376"/>
      <c r="J69" s="376">
        <v>0.63963845605764447</v>
      </c>
      <c r="K69" s="376">
        <v>0.94080857448672495</v>
      </c>
      <c r="L69" s="376">
        <v>1.8699378771414688</v>
      </c>
      <c r="M69" s="376"/>
      <c r="N69" s="376">
        <v>2.9939907794398946</v>
      </c>
      <c r="O69" s="376">
        <v>3.4279506612505557</v>
      </c>
      <c r="P69" s="376">
        <v>4.7664692300857041</v>
      </c>
      <c r="Q69" s="376"/>
      <c r="R69" s="376">
        <v>0.96675020295185166</v>
      </c>
      <c r="S69" s="376">
        <v>1.0196613680782622</v>
      </c>
      <c r="T69" s="376">
        <v>1.3559637919901157</v>
      </c>
      <c r="U69" s="376"/>
      <c r="V69" s="376">
        <v>0.77591788593260891</v>
      </c>
      <c r="W69" s="376">
        <v>0.74105936856189214</v>
      </c>
      <c r="X69" s="376">
        <v>0.90992228903972028</v>
      </c>
      <c r="Y69" s="376"/>
      <c r="Z69" s="376">
        <v>7.1328405476956211</v>
      </c>
      <c r="AA69" s="376">
        <v>7.5137289356594206</v>
      </c>
      <c r="AB69" s="376">
        <v>7.8670509308438934</v>
      </c>
      <c r="AC69" s="376"/>
      <c r="AD69" s="376">
        <v>7.0694438610540216</v>
      </c>
      <c r="AE69" s="376">
        <v>7.2675158977673897</v>
      </c>
      <c r="AF69" s="376">
        <v>6.0815378987365758</v>
      </c>
      <c r="AG69" s="376"/>
      <c r="AH69" s="376">
        <v>4.3848982042117033</v>
      </c>
      <c r="AI69" s="376">
        <v>3.5593501934543847</v>
      </c>
      <c r="AJ69" s="376">
        <v>1.5789228247476312</v>
      </c>
      <c r="AK69" s="376"/>
      <c r="AL69" s="376">
        <v>2.6284571018634306</v>
      </c>
      <c r="AM69" s="376">
        <v>1.4355094426835118</v>
      </c>
      <c r="AN69" s="376">
        <v>0.69623590903245103</v>
      </c>
    </row>
    <row r="70" spans="1:40">
      <c r="A70" s="65" t="str">
        <f t="shared" si="72"/>
        <v>Process, plant and machine operatives</v>
      </c>
      <c r="B70" s="376">
        <f t="shared" si="75"/>
        <v>20.243733627236534</v>
      </c>
      <c r="C70" s="376">
        <f t="shared" si="73"/>
        <v>21.757185425433406</v>
      </c>
      <c r="D70" s="376">
        <f t="shared" si="74"/>
        <v>22.050174180085104</v>
      </c>
      <c r="E70" s="376"/>
      <c r="F70" s="376">
        <v>5.3851577221874336E-2</v>
      </c>
      <c r="G70" s="376">
        <v>9.0245360254978035E-2</v>
      </c>
      <c r="H70" s="376">
        <v>0.1965543934938167</v>
      </c>
      <c r="I70" s="376"/>
      <c r="J70" s="376">
        <v>0.19978801230093615</v>
      </c>
      <c r="K70" s="376">
        <v>0.32615231152357993</v>
      </c>
      <c r="L70" s="376">
        <v>0.62261793169660895</v>
      </c>
      <c r="M70" s="376"/>
      <c r="N70" s="376">
        <v>0.86465186875550959</v>
      </c>
      <c r="O70" s="376">
        <v>1.2388383400643046</v>
      </c>
      <c r="P70" s="376">
        <v>2.0249711336933438</v>
      </c>
      <c r="Q70" s="376"/>
      <c r="R70" s="376">
        <v>0.38641997020403052</v>
      </c>
      <c r="S70" s="376">
        <v>0.50680164038974251</v>
      </c>
      <c r="T70" s="376">
        <v>0.68109951611913955</v>
      </c>
      <c r="U70" s="376"/>
      <c r="V70" s="376">
        <v>0.65422536404109177</v>
      </c>
      <c r="W70" s="376">
        <v>0.81205981095679169</v>
      </c>
      <c r="X70" s="376">
        <v>1.1383713040601027</v>
      </c>
      <c r="Y70" s="376"/>
      <c r="Z70" s="376">
        <v>3.5389569283229925</v>
      </c>
      <c r="AA70" s="376">
        <v>4.3520969279558912</v>
      </c>
      <c r="AB70" s="376">
        <v>5.0969326381404496</v>
      </c>
      <c r="AC70" s="376"/>
      <c r="AD70" s="376">
        <v>6.0414869510037121</v>
      </c>
      <c r="AE70" s="376">
        <v>7.5498623340232749</v>
      </c>
      <c r="AF70" s="376">
        <v>7.9539474360773648</v>
      </c>
      <c r="AG70" s="376"/>
      <c r="AH70" s="376">
        <v>5.286060939253753</v>
      </c>
      <c r="AI70" s="376">
        <v>5.0997427614192148</v>
      </c>
      <c r="AJ70" s="376">
        <v>3.6565975253919691</v>
      </c>
      <c r="AK70" s="376"/>
      <c r="AL70" s="376">
        <v>3.2182920161326334</v>
      </c>
      <c r="AM70" s="376">
        <v>1.7813859388456277</v>
      </c>
      <c r="AN70" s="376">
        <v>0.67908230141230697</v>
      </c>
    </row>
    <row r="71" spans="1:40">
      <c r="A71" s="65" t="str">
        <f t="shared" si="72"/>
        <v>Elementary occupations</v>
      </c>
      <c r="B71" s="376">
        <f t="shared" si="75"/>
        <v>24.041951199184506</v>
      </c>
      <c r="C71" s="376">
        <f t="shared" si="73"/>
        <v>26.33393361839472</v>
      </c>
      <c r="D71" s="376">
        <f t="shared" si="74"/>
        <v>25.212402939964619</v>
      </c>
      <c r="E71" s="376"/>
      <c r="F71" s="376">
        <v>8.2959124092374971E-3</v>
      </c>
      <c r="G71" s="376">
        <v>1.1667331564765696E-2</v>
      </c>
      <c r="H71" s="376">
        <v>2.0037465746479775E-2</v>
      </c>
      <c r="I71" s="376"/>
      <c r="J71" s="376">
        <v>0.44760615145242572</v>
      </c>
      <c r="K71" s="376">
        <v>0.70251541836889753</v>
      </c>
      <c r="L71" s="376">
        <v>1.4692804435465832</v>
      </c>
      <c r="M71" s="376"/>
      <c r="N71" s="376">
        <v>1.8412277659008738</v>
      </c>
      <c r="O71" s="376">
        <v>2.3994809061328968</v>
      </c>
      <c r="P71" s="376">
        <v>3.1547053242073888</v>
      </c>
      <c r="Q71" s="376"/>
      <c r="R71" s="376">
        <v>0.83470066318755543</v>
      </c>
      <c r="S71" s="376">
        <v>1.1585620156233323</v>
      </c>
      <c r="T71" s="376">
        <v>1.6856575613539482</v>
      </c>
      <c r="U71" s="376"/>
      <c r="V71" s="376">
        <v>0.94638879036790047</v>
      </c>
      <c r="W71" s="376">
        <v>1.307461430243543</v>
      </c>
      <c r="X71" s="376">
        <v>1.7777269870074597</v>
      </c>
      <c r="Y71" s="376"/>
      <c r="Z71" s="376">
        <v>4.3431227233052629</v>
      </c>
      <c r="AA71" s="376">
        <v>4.6892380562592617</v>
      </c>
      <c r="AB71" s="376">
        <v>4.6443926985946442</v>
      </c>
      <c r="AC71" s="376"/>
      <c r="AD71" s="376">
        <v>6.3251965801024648</v>
      </c>
      <c r="AE71" s="376">
        <v>7.4210259939766665</v>
      </c>
      <c r="AF71" s="376">
        <v>6.826301895745396</v>
      </c>
      <c r="AG71" s="376"/>
      <c r="AH71" s="376">
        <v>5.1303223223419607</v>
      </c>
      <c r="AI71" s="376">
        <v>5.2728973671921588</v>
      </c>
      <c r="AJ71" s="376">
        <v>3.3646604782348359</v>
      </c>
      <c r="AK71" s="376"/>
      <c r="AL71" s="376">
        <v>4.1650902901168267</v>
      </c>
      <c r="AM71" s="376">
        <v>3.3710850990331984</v>
      </c>
      <c r="AN71" s="376">
        <v>2.2696400855278864</v>
      </c>
    </row>
    <row r="72" spans="1:40">
      <c r="A72" s="65"/>
      <c r="B72" s="376"/>
      <c r="C72" s="376"/>
      <c r="D72" s="376"/>
      <c r="E72" s="376"/>
      <c r="F72" s="376"/>
      <c r="G72" s="376"/>
      <c r="H72" s="376"/>
      <c r="I72" s="376"/>
      <c r="J72" s="376"/>
      <c r="K72" s="376"/>
      <c r="L72" s="376"/>
      <c r="M72" s="376"/>
      <c r="N72" s="376"/>
      <c r="O72" s="376"/>
      <c r="P72" s="376"/>
      <c r="Q72" s="376"/>
      <c r="R72" s="376"/>
      <c r="S72" s="376"/>
      <c r="T72" s="376"/>
      <c r="U72" s="376"/>
      <c r="V72" s="376"/>
      <c r="W72" s="376"/>
      <c r="X72" s="376"/>
      <c r="Y72" s="376"/>
      <c r="Z72" s="376"/>
      <c r="AA72" s="376"/>
      <c r="AB72" s="376"/>
      <c r="AC72" s="376"/>
      <c r="AD72" s="376"/>
      <c r="AE72" s="376"/>
      <c r="AF72" s="376"/>
      <c r="AG72" s="376"/>
      <c r="AH72" s="376"/>
      <c r="AI72" s="376"/>
      <c r="AJ72" s="376"/>
      <c r="AK72" s="376"/>
      <c r="AL72" s="376"/>
      <c r="AM72" s="376"/>
      <c r="AN72" s="376"/>
    </row>
    <row r="73" spans="1:40">
      <c r="A73" s="1" t="str">
        <f>name!C8</f>
        <v>Business and other services</v>
      </c>
      <c r="B73" s="377"/>
      <c r="C73" s="377"/>
      <c r="D73" s="377"/>
      <c r="E73" s="376"/>
      <c r="F73" s="376"/>
      <c r="G73" s="376"/>
      <c r="H73" s="376"/>
      <c r="I73" s="376"/>
      <c r="J73" s="376"/>
      <c r="K73" s="376"/>
      <c r="L73" s="376"/>
      <c r="M73" s="376"/>
      <c r="N73" s="376"/>
      <c r="O73" s="376"/>
      <c r="P73" s="376"/>
      <c r="Q73" s="376"/>
      <c r="R73" s="376"/>
      <c r="S73" s="376"/>
      <c r="T73" s="376"/>
      <c r="U73" s="376"/>
      <c r="V73" s="376"/>
      <c r="W73" s="376"/>
      <c r="X73" s="376"/>
      <c r="Y73" s="376"/>
      <c r="Z73" s="376"/>
      <c r="AA73" s="376"/>
      <c r="AB73" s="376"/>
      <c r="AC73" s="376"/>
      <c r="AD73" s="376"/>
      <c r="AE73" s="376"/>
      <c r="AF73" s="376"/>
      <c r="AG73" s="376"/>
      <c r="AH73" s="376"/>
      <c r="AI73" s="376"/>
      <c r="AJ73" s="376"/>
      <c r="AK73" s="376"/>
      <c r="AL73" s="376"/>
      <c r="AM73" s="376"/>
      <c r="AN73" s="376"/>
    </row>
    <row r="74" spans="1:40">
      <c r="A74" s="65" t="str">
        <f t="shared" ref="A74:A83" si="76">A8</f>
        <v>All occupations</v>
      </c>
      <c r="B74" s="375">
        <f>SUM(B75:B83)</f>
        <v>111.41800000000001</v>
      </c>
      <c r="C74" s="375">
        <f>SUM(C75:C83)</f>
        <v>113.29000000000003</v>
      </c>
      <c r="D74" s="375">
        <f>SUM(D75:D83)</f>
        <v>117.91200000000001</v>
      </c>
      <c r="E74" s="376"/>
      <c r="F74" s="375">
        <f>SUM(F75:F83)</f>
        <v>1.6008032836529522</v>
      </c>
      <c r="G74" s="375">
        <f>SUM(G75:G83)</f>
        <v>2.0590487507199526</v>
      </c>
      <c r="H74" s="375">
        <f>SUM(H75:H83)</f>
        <v>2.9975004978351385</v>
      </c>
      <c r="I74" s="376"/>
      <c r="J74" s="375">
        <f>SUM(J75:J83)</f>
        <v>13.742415997153294</v>
      </c>
      <c r="K74" s="375">
        <f>SUM(K75:K83)</f>
        <v>17.32728959669214</v>
      </c>
      <c r="L74" s="375">
        <f>SUM(L75:L83)</f>
        <v>25.389871269067989</v>
      </c>
      <c r="M74" s="376"/>
      <c r="N74" s="375">
        <f>SUM(N75:N83)</f>
        <v>27.702113783735399</v>
      </c>
      <c r="O74" s="375">
        <f>SUM(O75:O83)</f>
        <v>28.245413094457025</v>
      </c>
      <c r="P74" s="375">
        <f>SUM(P75:P83)</f>
        <v>30.731687554636402</v>
      </c>
      <c r="Q74" s="376"/>
      <c r="R74" s="375">
        <f>SUM(R75:R83)</f>
        <v>5.8855318999796422</v>
      </c>
      <c r="S74" s="375">
        <f>SUM(S75:S83)</f>
        <v>6.1677667300370826</v>
      </c>
      <c r="T74" s="375">
        <f>SUM(T75:T83)</f>
        <v>7.1801802908887131</v>
      </c>
      <c r="U74" s="376"/>
      <c r="V74" s="375">
        <f>SUM(V75:V83)</f>
        <v>6.9807569838471268</v>
      </c>
      <c r="W74" s="375">
        <f>SUM(W75:W83)</f>
        <v>7.1146711240077831</v>
      </c>
      <c r="X74" s="375">
        <f>SUM(X75:X83)</f>
        <v>7.9781040929125684</v>
      </c>
      <c r="Y74" s="376"/>
      <c r="Z74" s="375">
        <f>SUM(Z75:Z83)</f>
        <v>17.624273648377109</v>
      </c>
      <c r="AA74" s="375">
        <f>SUM(AA75:AA83)</f>
        <v>17.109737755478896</v>
      </c>
      <c r="AB74" s="375">
        <f>SUM(AB75:AB83)</f>
        <v>15.967772174040823</v>
      </c>
      <c r="AC74" s="376"/>
      <c r="AD74" s="375">
        <f>SUM(AD75:AD83)</f>
        <v>18.414401265324436</v>
      </c>
      <c r="AE74" s="375">
        <f>SUM(AE75:AE83)</f>
        <v>18.917884771076842</v>
      </c>
      <c r="AF74" s="375">
        <f>SUM(AF75:AF83)</f>
        <v>16.331177016184387</v>
      </c>
      <c r="AG74" s="376"/>
      <c r="AH74" s="375">
        <f>SUM(AH75:AH83)</f>
        <v>12.754018573213557</v>
      </c>
      <c r="AI74" s="375">
        <f>SUM(AI75:AI83)</f>
        <v>11.442074137421024</v>
      </c>
      <c r="AJ74" s="375">
        <f>SUM(AJ75:AJ83)</f>
        <v>7.7910020241823794</v>
      </c>
      <c r="AK74" s="376"/>
      <c r="AL74" s="375">
        <f>SUM(AL75:AL83)</f>
        <v>6.713684564716468</v>
      </c>
      <c r="AM74" s="375">
        <f>SUM(AM75:AM83)</f>
        <v>4.906114040109264</v>
      </c>
      <c r="AN74" s="375">
        <f>SUM(AN75:AN83)</f>
        <v>3.5447050802515987</v>
      </c>
    </row>
    <row r="75" spans="1:40">
      <c r="A75" s="65" t="str">
        <f t="shared" si="76"/>
        <v>Managers, directors and senior officials</v>
      </c>
      <c r="B75" s="375">
        <f>SUM(F75,J75,N75,R75,V75,Z75,AD75,AH75,AL75)</f>
        <v>12.127586197499495</v>
      </c>
      <c r="C75" s="375">
        <f t="shared" ref="C75:C83" si="77">SUM(G75,K75,O75,S75,W75,AA75,AE75,AI75,AM75)</f>
        <v>11.266351511482352</v>
      </c>
      <c r="D75" s="375">
        <f t="shared" ref="D75:D83" si="78">SUM(H75,L75,P75,T75,X75,AB75,AF75,AJ75,AN75)</f>
        <v>12.143709790382587</v>
      </c>
      <c r="E75" s="376"/>
      <c r="F75" s="376">
        <v>0.22973694114136914</v>
      </c>
      <c r="G75" s="376">
        <v>0.27542587322214684</v>
      </c>
      <c r="H75" s="376">
        <v>0.41955216074237023</v>
      </c>
      <c r="I75" s="376"/>
      <c r="J75" s="376">
        <v>1.7817793549854157</v>
      </c>
      <c r="K75" s="376">
        <v>2.0583730936616513</v>
      </c>
      <c r="L75" s="376">
        <v>3.056341119547314</v>
      </c>
      <c r="M75" s="376"/>
      <c r="N75" s="376">
        <v>3.6648388309615094</v>
      </c>
      <c r="O75" s="376">
        <v>3.3682398770024573</v>
      </c>
      <c r="P75" s="376">
        <v>3.6758474736437825</v>
      </c>
      <c r="Q75" s="376"/>
      <c r="R75" s="376">
        <v>0.41485181703146545</v>
      </c>
      <c r="S75" s="376">
        <v>0.36075108001492406</v>
      </c>
      <c r="T75" s="376">
        <v>0.37060240815622975</v>
      </c>
      <c r="U75" s="376"/>
      <c r="V75" s="376">
        <v>1.0388614171787067</v>
      </c>
      <c r="W75" s="376">
        <v>0.95547882235230319</v>
      </c>
      <c r="X75" s="376">
        <v>1.0602229569761752</v>
      </c>
      <c r="Y75" s="376"/>
      <c r="Z75" s="376">
        <v>1.9923360762328566</v>
      </c>
      <c r="AA75" s="376">
        <v>1.7130306065194438</v>
      </c>
      <c r="AB75" s="376">
        <v>1.6178242559269913</v>
      </c>
      <c r="AC75" s="376"/>
      <c r="AD75" s="376">
        <v>1.441893243468261</v>
      </c>
      <c r="AE75" s="376">
        <v>1.288141230053828</v>
      </c>
      <c r="AF75" s="376">
        <v>1.0390713845156383</v>
      </c>
      <c r="AG75" s="376"/>
      <c r="AH75" s="376">
        <v>1.1055545547701509</v>
      </c>
      <c r="AI75" s="376">
        <v>0.93083490895829979</v>
      </c>
      <c r="AJ75" s="376">
        <v>0.69281312303222753</v>
      </c>
      <c r="AK75" s="376"/>
      <c r="AL75" s="376">
        <v>0.45773396172976005</v>
      </c>
      <c r="AM75" s="376">
        <v>0.3160760196972992</v>
      </c>
      <c r="AN75" s="376">
        <v>0.21143490784185712</v>
      </c>
    </row>
    <row r="76" spans="1:40">
      <c r="A76" s="65" t="str">
        <f t="shared" si="76"/>
        <v>Professional occupations</v>
      </c>
      <c r="B76" s="375">
        <f t="shared" ref="B76:B83" si="79">SUM(F76,J76,N76,R76,V76,Z76,AD76,AH76,AL76)</f>
        <v>25.35502908970594</v>
      </c>
      <c r="C76" s="375">
        <f t="shared" si="77"/>
        <v>27.226075995706754</v>
      </c>
      <c r="D76" s="375">
        <f>SUM(H76,L76,P76,T76,X76,AB76,AF76,AJ76,AN76)</f>
        <v>29.917478903825032</v>
      </c>
      <c r="E76" s="376"/>
      <c r="F76" s="376">
        <v>0.87103854150315818</v>
      </c>
      <c r="G76" s="376">
        <v>1.1237498399793007</v>
      </c>
      <c r="H76" s="376">
        <v>1.5366294294160956</v>
      </c>
      <c r="I76" s="376"/>
      <c r="J76" s="376">
        <v>5.9351751352878663</v>
      </c>
      <c r="K76" s="376">
        <v>7.5278952768343643</v>
      </c>
      <c r="L76" s="376">
        <v>10.378198842998323</v>
      </c>
      <c r="M76" s="376"/>
      <c r="N76" s="376">
        <v>9.4658875299044816</v>
      </c>
      <c r="O76" s="376">
        <v>9.5163567750107934</v>
      </c>
      <c r="P76" s="376">
        <v>9.4340548774340967</v>
      </c>
      <c r="Q76" s="376"/>
      <c r="R76" s="376">
        <v>0.95052597641554926</v>
      </c>
      <c r="S76" s="376">
        <v>0.97094044463851004</v>
      </c>
      <c r="T76" s="376">
        <v>1.0635211730899752</v>
      </c>
      <c r="U76" s="376"/>
      <c r="V76" s="376">
        <v>1.5612957517468511</v>
      </c>
      <c r="W76" s="376">
        <v>1.5488402662018241</v>
      </c>
      <c r="X76" s="376">
        <v>1.632811413031656</v>
      </c>
      <c r="Y76" s="376"/>
      <c r="Z76" s="376">
        <v>2.8253146832372122</v>
      </c>
      <c r="AA76" s="376">
        <v>2.9191770010420677</v>
      </c>
      <c r="AB76" s="376">
        <v>2.9348738831391099</v>
      </c>
      <c r="AC76" s="376"/>
      <c r="AD76" s="376">
        <v>2.0454578982389617</v>
      </c>
      <c r="AE76" s="376">
        <v>2.1227861180357546</v>
      </c>
      <c r="AF76" s="376">
        <v>1.9020466909431091</v>
      </c>
      <c r="AG76" s="376"/>
      <c r="AH76" s="376">
        <v>1.1418675083127554</v>
      </c>
      <c r="AI76" s="376">
        <v>1.0273892901558761</v>
      </c>
      <c r="AJ76" s="376">
        <v>0.66790137593944687</v>
      </c>
      <c r="AK76" s="376"/>
      <c r="AL76" s="376">
        <v>0.55846606505910268</v>
      </c>
      <c r="AM76" s="376">
        <v>0.46894098380825527</v>
      </c>
      <c r="AN76" s="376">
        <v>0.36744121783321848</v>
      </c>
    </row>
    <row r="77" spans="1:40">
      <c r="A77" s="65" t="str">
        <f t="shared" si="76"/>
        <v>Associate professional occupations</v>
      </c>
      <c r="B77" s="375">
        <f t="shared" si="79"/>
        <v>21.04189553389341</v>
      </c>
      <c r="C77" s="375">
        <f t="shared" si="77"/>
        <v>20.527914634010649</v>
      </c>
      <c r="D77" s="375">
        <f t="shared" si="78"/>
        <v>22.114629074017568</v>
      </c>
      <c r="E77" s="376"/>
      <c r="F77" s="376">
        <v>0.28669592516216497</v>
      </c>
      <c r="G77" s="376">
        <v>0.36327778194681049</v>
      </c>
      <c r="H77" s="376">
        <v>0.55282425489051457</v>
      </c>
      <c r="I77" s="376"/>
      <c r="J77" s="376">
        <v>3.344695811596456</v>
      </c>
      <c r="K77" s="376">
        <v>4.0499929680406392</v>
      </c>
      <c r="L77" s="376">
        <v>6.0047974793162613</v>
      </c>
      <c r="M77" s="376"/>
      <c r="N77" s="376">
        <v>6.4477856460983327</v>
      </c>
      <c r="O77" s="376">
        <v>6.1452219178872367</v>
      </c>
      <c r="P77" s="376">
        <v>6.4375032797938205</v>
      </c>
      <c r="Q77" s="376"/>
      <c r="R77" s="376">
        <v>1.4299734496903718</v>
      </c>
      <c r="S77" s="376">
        <v>1.4688182228827089</v>
      </c>
      <c r="T77" s="376">
        <v>1.7182403391628911</v>
      </c>
      <c r="U77" s="376"/>
      <c r="V77" s="376">
        <v>1.3219345540261036</v>
      </c>
      <c r="W77" s="376">
        <v>1.2679181908988142</v>
      </c>
      <c r="X77" s="376">
        <v>1.3184120372527977</v>
      </c>
      <c r="Y77" s="376"/>
      <c r="Z77" s="376">
        <v>3.3109212608754253</v>
      </c>
      <c r="AA77" s="376">
        <v>3.0485233281475383</v>
      </c>
      <c r="AB77" s="376">
        <v>2.8553993178016652</v>
      </c>
      <c r="AC77" s="376"/>
      <c r="AD77" s="376">
        <v>2.4383409993229299</v>
      </c>
      <c r="AE77" s="376">
        <v>2.2473167912514644</v>
      </c>
      <c r="AF77" s="376">
        <v>1.7672763853305384</v>
      </c>
      <c r="AG77" s="376"/>
      <c r="AH77" s="376">
        <v>1.6738664206411842</v>
      </c>
      <c r="AI77" s="376">
        <v>1.3580579998617908</v>
      </c>
      <c r="AJ77" s="376">
        <v>0.95216764102043172</v>
      </c>
      <c r="AK77" s="376"/>
      <c r="AL77" s="376">
        <v>0.78768146648044157</v>
      </c>
      <c r="AM77" s="376">
        <v>0.57878743309364289</v>
      </c>
      <c r="AN77" s="376">
        <v>0.50800833944864854</v>
      </c>
    </row>
    <row r="78" spans="1:40">
      <c r="A78" s="65" t="str">
        <f t="shared" si="76"/>
        <v>Administrative and secretarial occupations</v>
      </c>
      <c r="B78" s="375">
        <f t="shared" si="79"/>
        <v>19.509833119389647</v>
      </c>
      <c r="C78" s="375">
        <f t="shared" si="77"/>
        <v>20.182695876718896</v>
      </c>
      <c r="D78" s="375">
        <f t="shared" si="78"/>
        <v>19.249430413595988</v>
      </c>
      <c r="E78" s="376"/>
      <c r="F78" s="376">
        <v>0.13574905044203464</v>
      </c>
      <c r="G78" s="376">
        <v>0.18693660375304258</v>
      </c>
      <c r="H78" s="376">
        <v>0.3077004144347365</v>
      </c>
      <c r="I78" s="376"/>
      <c r="J78" s="376">
        <v>1.3675355878089805</v>
      </c>
      <c r="K78" s="376">
        <v>1.8701858661040365</v>
      </c>
      <c r="L78" s="376">
        <v>2.8284728440293407</v>
      </c>
      <c r="M78" s="376"/>
      <c r="N78" s="376">
        <v>4.3307846680451521</v>
      </c>
      <c r="O78" s="376">
        <v>4.9533148154563795</v>
      </c>
      <c r="P78" s="376">
        <v>5.7998310448495438</v>
      </c>
      <c r="Q78" s="376"/>
      <c r="R78" s="376">
        <v>1.2895129497353668</v>
      </c>
      <c r="S78" s="376">
        <v>1.394705549001229</v>
      </c>
      <c r="T78" s="376">
        <v>1.5608986578715882</v>
      </c>
      <c r="U78" s="376"/>
      <c r="V78" s="376">
        <v>1.440820159638956</v>
      </c>
      <c r="W78" s="376">
        <v>1.5313904911873055</v>
      </c>
      <c r="X78" s="376">
        <v>1.7257046060625916</v>
      </c>
      <c r="Y78" s="376"/>
      <c r="Z78" s="376">
        <v>3.4702484572054062</v>
      </c>
      <c r="AA78" s="376">
        <v>3.2924541380436261</v>
      </c>
      <c r="AB78" s="376">
        <v>2.5296572561449508</v>
      </c>
      <c r="AC78" s="376"/>
      <c r="AD78" s="376">
        <v>4.2183010084728201</v>
      </c>
      <c r="AE78" s="376">
        <v>4.2256061680844885</v>
      </c>
      <c r="AF78" s="376">
        <v>2.9888879399132149</v>
      </c>
      <c r="AG78" s="376"/>
      <c r="AH78" s="376">
        <v>1.9512158004854046</v>
      </c>
      <c r="AI78" s="376">
        <v>1.6325001306808931</v>
      </c>
      <c r="AJ78" s="376">
        <v>0.51892924827991416</v>
      </c>
      <c r="AK78" s="376"/>
      <c r="AL78" s="376">
        <v>1.305665437555525</v>
      </c>
      <c r="AM78" s="376">
        <v>1.0956021144078958</v>
      </c>
      <c r="AN78" s="376">
        <v>0.98934840201010876</v>
      </c>
    </row>
    <row r="79" spans="1:40">
      <c r="A79" s="65" t="str">
        <f t="shared" si="76"/>
        <v>Skilled trades occupations</v>
      </c>
      <c r="B79" s="375">
        <f t="shared" si="79"/>
        <v>3.0244972943202049</v>
      </c>
      <c r="C79" s="375">
        <f t="shared" si="77"/>
        <v>3.1134261861395029</v>
      </c>
      <c r="D79" s="375">
        <f t="shared" si="78"/>
        <v>3.0707183427241458</v>
      </c>
      <c r="E79" s="376"/>
      <c r="F79" s="376">
        <v>1.3453014427279742E-2</v>
      </c>
      <c r="G79" s="376">
        <v>1.8423001942475536E-2</v>
      </c>
      <c r="H79" s="376">
        <v>2.6000147505460029E-2</v>
      </c>
      <c r="I79" s="376"/>
      <c r="J79" s="376">
        <v>0.20264542280778569</v>
      </c>
      <c r="K79" s="376">
        <v>0.29152019362654913</v>
      </c>
      <c r="L79" s="376">
        <v>0.4456480074877851</v>
      </c>
      <c r="M79" s="376"/>
      <c r="N79" s="376">
        <v>0.39022134451238688</v>
      </c>
      <c r="O79" s="376">
        <v>0.42531004143750006</v>
      </c>
      <c r="P79" s="376">
        <v>0.50700071370783006</v>
      </c>
      <c r="Q79" s="376"/>
      <c r="R79" s="376">
        <v>0.15623236368522017</v>
      </c>
      <c r="S79" s="376">
        <v>0.17745412816614134</v>
      </c>
      <c r="T79" s="376">
        <v>0.24105163327836934</v>
      </c>
      <c r="U79" s="376"/>
      <c r="V79" s="376">
        <v>0.18491891106199801</v>
      </c>
      <c r="W79" s="376">
        <v>0.1898436765961739</v>
      </c>
      <c r="X79" s="376">
        <v>0.2015299998567685</v>
      </c>
      <c r="Y79" s="376"/>
      <c r="Z79" s="376">
        <v>0.66252422231478358</v>
      </c>
      <c r="AA79" s="376">
        <v>0.66961827862536316</v>
      </c>
      <c r="AB79" s="376">
        <v>0.62579273357700493</v>
      </c>
      <c r="AC79" s="376"/>
      <c r="AD79" s="376">
        <v>0.62945515368183769</v>
      </c>
      <c r="AE79" s="376">
        <v>0.64714777123773304</v>
      </c>
      <c r="AF79" s="376">
        <v>0.54750191167258067</v>
      </c>
      <c r="AG79" s="376"/>
      <c r="AH79" s="376">
        <v>0.4174972559522262</v>
      </c>
      <c r="AI79" s="376">
        <v>0.37938369249864584</v>
      </c>
      <c r="AJ79" s="376">
        <v>0.2464898343764596</v>
      </c>
      <c r="AK79" s="376"/>
      <c r="AL79" s="376">
        <v>0.367549605876687</v>
      </c>
      <c r="AM79" s="376">
        <v>0.31472540200892107</v>
      </c>
      <c r="AN79" s="376">
        <v>0.22970336126188784</v>
      </c>
    </row>
    <row r="80" spans="1:40">
      <c r="A80" s="65" t="str">
        <f t="shared" si="76"/>
        <v>Caring, leisure and other service occupations</v>
      </c>
      <c r="B80" s="375">
        <f t="shared" si="79"/>
        <v>8.2279093244389188</v>
      </c>
      <c r="C80" s="375">
        <f t="shared" si="77"/>
        <v>8.0652771353359842</v>
      </c>
      <c r="D80" s="375">
        <f t="shared" si="78"/>
        <v>8.3301023389638207</v>
      </c>
      <c r="E80" s="376"/>
      <c r="F80" s="376">
        <v>6.1495853782680002E-3</v>
      </c>
      <c r="G80" s="376">
        <v>7.8728906874922996E-3</v>
      </c>
      <c r="H80" s="376">
        <v>1.3941019888103501E-2</v>
      </c>
      <c r="I80" s="376"/>
      <c r="J80" s="376">
        <v>0.38461570840599812</v>
      </c>
      <c r="K80" s="376">
        <v>0.51573139595971107</v>
      </c>
      <c r="L80" s="376">
        <v>0.94664728793036812</v>
      </c>
      <c r="M80" s="376"/>
      <c r="N80" s="376">
        <v>1.0846967838373645</v>
      </c>
      <c r="O80" s="376">
        <v>1.232119859553557</v>
      </c>
      <c r="P80" s="376">
        <v>1.6470647446767843</v>
      </c>
      <c r="Q80" s="376"/>
      <c r="R80" s="376">
        <v>0.77780695472999195</v>
      </c>
      <c r="S80" s="376">
        <v>0.81680801498156141</v>
      </c>
      <c r="T80" s="376">
        <v>0.98886919432455467</v>
      </c>
      <c r="U80" s="376"/>
      <c r="V80" s="376">
        <v>0.46426950811797368</v>
      </c>
      <c r="W80" s="376">
        <v>0.5017255715942226</v>
      </c>
      <c r="X80" s="376">
        <v>0.66860156363323042</v>
      </c>
      <c r="Y80" s="376"/>
      <c r="Z80" s="376">
        <v>1.9793288308951218</v>
      </c>
      <c r="AA80" s="376">
        <v>1.903791322131593</v>
      </c>
      <c r="AB80" s="376">
        <v>1.7988686735764645</v>
      </c>
      <c r="AC80" s="376"/>
      <c r="AD80" s="376">
        <v>1.8584465278409357</v>
      </c>
      <c r="AE80" s="376">
        <v>1.7556763758715694</v>
      </c>
      <c r="AF80" s="376">
        <v>1.3992093761023032</v>
      </c>
      <c r="AG80" s="376"/>
      <c r="AH80" s="376">
        <v>1.1694107663988715</v>
      </c>
      <c r="AI80" s="376">
        <v>1.0085815373650535</v>
      </c>
      <c r="AJ80" s="376">
        <v>0.66359787519649394</v>
      </c>
      <c r="AK80" s="376"/>
      <c r="AL80" s="376">
        <v>0.50318465883439245</v>
      </c>
      <c r="AM80" s="376">
        <v>0.3229701671912234</v>
      </c>
      <c r="AN80" s="376">
        <v>0.20330260363551694</v>
      </c>
    </row>
    <row r="81" spans="1:40">
      <c r="A81" s="65" t="str">
        <f t="shared" si="76"/>
        <v>Sales and customer service occupations</v>
      </c>
      <c r="B81" s="375">
        <f t="shared" si="79"/>
        <v>8.0190318619093635</v>
      </c>
      <c r="C81" s="375">
        <f t="shared" si="77"/>
        <v>8.6604414588191929</v>
      </c>
      <c r="D81" s="375">
        <f t="shared" si="78"/>
        <v>9.1848713086622471</v>
      </c>
      <c r="E81" s="376"/>
      <c r="F81" s="376">
        <v>3.7234052138504531E-2</v>
      </c>
      <c r="G81" s="376">
        <v>5.4317269605691242E-2</v>
      </c>
      <c r="H81" s="376">
        <v>9.3273610171996424E-2</v>
      </c>
      <c r="I81" s="376"/>
      <c r="J81" s="376">
        <v>0.3911631045176806</v>
      </c>
      <c r="K81" s="376">
        <v>0.53128482302547986</v>
      </c>
      <c r="L81" s="376">
        <v>0.86452148583031618</v>
      </c>
      <c r="M81" s="376"/>
      <c r="N81" s="376">
        <v>1.4380998519147725</v>
      </c>
      <c r="O81" s="376">
        <v>1.6040293498422158</v>
      </c>
      <c r="P81" s="376">
        <v>1.9730121872672925</v>
      </c>
      <c r="Q81" s="376"/>
      <c r="R81" s="376">
        <v>0.44290042955751874</v>
      </c>
      <c r="S81" s="376">
        <v>0.50691023500823917</v>
      </c>
      <c r="T81" s="376">
        <v>0.65870080018622001</v>
      </c>
      <c r="U81" s="376"/>
      <c r="V81" s="376">
        <v>0.67708025035224395</v>
      </c>
      <c r="W81" s="376">
        <v>0.80350774378795353</v>
      </c>
      <c r="X81" s="376">
        <v>0.96177973507960512</v>
      </c>
      <c r="Y81" s="376"/>
      <c r="Z81" s="376">
        <v>1.6884040704247592</v>
      </c>
      <c r="AA81" s="376">
        <v>1.8548056017305088</v>
      </c>
      <c r="AB81" s="376">
        <v>1.8339004234287455</v>
      </c>
      <c r="AC81" s="376"/>
      <c r="AD81" s="376">
        <v>1.870407479820972</v>
      </c>
      <c r="AE81" s="376">
        <v>2.0208520240802557</v>
      </c>
      <c r="AF81" s="376">
        <v>1.8269388004999116</v>
      </c>
      <c r="AG81" s="376"/>
      <c r="AH81" s="376">
        <v>0.99298800183212232</v>
      </c>
      <c r="AI81" s="376">
        <v>0.90218741668882563</v>
      </c>
      <c r="AJ81" s="376">
        <v>0.66544767210220745</v>
      </c>
      <c r="AK81" s="376"/>
      <c r="AL81" s="376">
        <v>0.48075462135078828</v>
      </c>
      <c r="AM81" s="376">
        <v>0.38254699505002254</v>
      </c>
      <c r="AN81" s="376">
        <v>0.30729659409595339</v>
      </c>
    </row>
    <row r="82" spans="1:40">
      <c r="A82" s="65" t="str">
        <f t="shared" si="76"/>
        <v>Process, plant and machine operatives</v>
      </c>
      <c r="B82" s="375">
        <f t="shared" si="79"/>
        <v>2.16435899871369</v>
      </c>
      <c r="C82" s="375">
        <f t="shared" si="77"/>
        <v>2.1966330795334859</v>
      </c>
      <c r="D82" s="375">
        <f t="shared" si="78"/>
        <v>1.9535366583094671</v>
      </c>
      <c r="E82" s="376"/>
      <c r="F82" s="376">
        <v>5.8101625867947905E-3</v>
      </c>
      <c r="G82" s="376">
        <v>8.5941892725875327E-3</v>
      </c>
      <c r="H82" s="376">
        <v>1.2249629416009121E-2</v>
      </c>
      <c r="I82" s="376"/>
      <c r="J82" s="376">
        <v>7.1903743867448577E-2</v>
      </c>
      <c r="K82" s="376">
        <v>0.10427859641590428</v>
      </c>
      <c r="L82" s="376">
        <v>0.16008781622272011</v>
      </c>
      <c r="M82" s="376"/>
      <c r="N82" s="376">
        <v>0.13460540417888572</v>
      </c>
      <c r="O82" s="376">
        <v>0.1657133104056363</v>
      </c>
      <c r="P82" s="376">
        <v>0.19745864760308832</v>
      </c>
      <c r="Q82" s="376"/>
      <c r="R82" s="376">
        <v>4.7718991383853444E-2</v>
      </c>
      <c r="S82" s="376">
        <v>5.8437931616781173E-2</v>
      </c>
      <c r="T82" s="376">
        <v>6.859508616633439E-2</v>
      </c>
      <c r="U82" s="376"/>
      <c r="V82" s="376">
        <v>6.2325166026817869E-2</v>
      </c>
      <c r="W82" s="376">
        <v>7.5519570978057518E-2</v>
      </c>
      <c r="X82" s="376">
        <v>9.0526641593354884E-2</v>
      </c>
      <c r="Y82" s="376"/>
      <c r="Z82" s="376">
        <v>0.44847462536700944</v>
      </c>
      <c r="AA82" s="376">
        <v>0.52771955262481363</v>
      </c>
      <c r="AB82" s="376">
        <v>0.5873201524908177</v>
      </c>
      <c r="AC82" s="376"/>
      <c r="AD82" s="376">
        <v>0.4426373698649203</v>
      </c>
      <c r="AE82" s="376">
        <v>0.50130775807249173</v>
      </c>
      <c r="AF82" s="376">
        <v>0.45030016352459729</v>
      </c>
      <c r="AG82" s="376"/>
      <c r="AH82" s="376">
        <v>0.43321511854084011</v>
      </c>
      <c r="AI82" s="376">
        <v>0.38066706877244127</v>
      </c>
      <c r="AJ82" s="376">
        <v>0.23029574347945961</v>
      </c>
      <c r="AK82" s="376"/>
      <c r="AL82" s="376">
        <v>0.51766841689711984</v>
      </c>
      <c r="AM82" s="376">
        <v>0.37439510137477261</v>
      </c>
      <c r="AN82" s="376">
        <v>0.15670277781308564</v>
      </c>
    </row>
    <row r="83" spans="1:40">
      <c r="A83" s="364" t="str">
        <f t="shared" si="76"/>
        <v>Elementary occupations</v>
      </c>
      <c r="B83" s="378">
        <f t="shared" si="79"/>
        <v>11.947858580129324</v>
      </c>
      <c r="C83" s="378">
        <f t="shared" si="77"/>
        <v>12.051184122253204</v>
      </c>
      <c r="D83" s="378">
        <f t="shared" si="78"/>
        <v>11.94752316951914</v>
      </c>
      <c r="E83" s="378"/>
      <c r="F83" s="378">
        <v>1.4936010873378029E-2</v>
      </c>
      <c r="G83" s="378">
        <v>2.0451300310405578E-2</v>
      </c>
      <c r="H83" s="378">
        <v>3.5329831369852384E-2</v>
      </c>
      <c r="I83" s="378"/>
      <c r="J83" s="378">
        <v>0.26290212787566264</v>
      </c>
      <c r="K83" s="378">
        <v>0.37802738302380334</v>
      </c>
      <c r="L83" s="378">
        <v>0.70515638570555661</v>
      </c>
      <c r="M83" s="378"/>
      <c r="N83" s="378">
        <v>0.7451937242825164</v>
      </c>
      <c r="O83" s="378">
        <v>0.8351071478612494</v>
      </c>
      <c r="P83" s="378">
        <v>1.0599145856601648</v>
      </c>
      <c r="Q83" s="378"/>
      <c r="R83" s="378">
        <v>0.37600896775030329</v>
      </c>
      <c r="S83" s="378">
        <v>0.41294112372698677</v>
      </c>
      <c r="T83" s="378">
        <v>0.5097009986525507</v>
      </c>
      <c r="U83" s="378"/>
      <c r="V83" s="378">
        <v>0.22925126569747686</v>
      </c>
      <c r="W83" s="378">
        <v>0.24044679041112879</v>
      </c>
      <c r="X83" s="378">
        <v>0.31851513942638854</v>
      </c>
      <c r="Y83" s="378"/>
      <c r="Z83" s="378">
        <v>1.2467214218245342</v>
      </c>
      <c r="AA83" s="378">
        <v>1.1806179266139456</v>
      </c>
      <c r="AB83" s="378">
        <v>1.1841354779550728</v>
      </c>
      <c r="AC83" s="378"/>
      <c r="AD83" s="378">
        <v>3.4694615846127976</v>
      </c>
      <c r="AE83" s="378">
        <v>4.1090505343892554</v>
      </c>
      <c r="AF83" s="378">
        <v>4.4099443636824933</v>
      </c>
      <c r="AG83" s="378"/>
      <c r="AH83" s="378">
        <v>3.8684031462800026</v>
      </c>
      <c r="AI83" s="378">
        <v>3.8224720924391993</v>
      </c>
      <c r="AJ83" s="378">
        <v>3.1533595107557399</v>
      </c>
      <c r="AK83" s="378"/>
      <c r="AL83" s="378">
        <v>1.7349803309326515</v>
      </c>
      <c r="AM83" s="378">
        <v>1.0520698234772312</v>
      </c>
      <c r="AN83" s="378">
        <v>0.57146687631132198</v>
      </c>
    </row>
    <row r="84" spans="1:40">
      <c r="A84" s="65"/>
      <c r="B84" s="363"/>
      <c r="C84" s="363"/>
      <c r="D84" s="363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H84" s="65"/>
      <c r="AI84" s="65"/>
      <c r="AJ84" s="65"/>
      <c r="AK84" s="65"/>
      <c r="AL84" s="65"/>
      <c r="AM84" s="65"/>
      <c r="AN84" s="65"/>
    </row>
    <row r="85" spans="1:40" ht="15.75">
      <c r="A85" s="18" t="str">
        <f>CONCATENATE(A1," (Continued)")</f>
        <v>Basic Table 1  Employment by Industry Sector, Occupation Group and Qualification, 2020-2035, Black Country (Continued)</v>
      </c>
      <c r="B85" s="65"/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H85" s="65"/>
      <c r="AI85" s="65"/>
      <c r="AJ85" s="65"/>
      <c r="AK85" s="65"/>
      <c r="AL85" s="65"/>
      <c r="AM85" s="65"/>
      <c r="AN85" s="65"/>
    </row>
    <row r="86" spans="1:40" ht="12.75" customHeight="1">
      <c r="A86" s="18"/>
      <c r="B86" s="65"/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H86" s="65"/>
      <c r="AI86" s="65"/>
      <c r="AJ86" s="65"/>
      <c r="AK86" s="65"/>
      <c r="AL86" s="65"/>
      <c r="AM86" s="65"/>
      <c r="AN86" s="65"/>
    </row>
    <row r="87" spans="1:40" ht="12.75" customHeight="1">
      <c r="A87" s="18"/>
      <c r="B87" s="65"/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H87" s="65"/>
      <c r="AI87" s="65"/>
      <c r="AJ87" s="65"/>
      <c r="AK87" s="65"/>
      <c r="AL87" s="65"/>
      <c r="AM87" s="65"/>
      <c r="AN87" s="65"/>
    </row>
    <row r="88" spans="1:40" ht="26.25" customHeight="1">
      <c r="A88" s="372"/>
      <c r="B88" s="372"/>
      <c r="C88" s="380" t="str">
        <f>B4</f>
        <v>All qualifications</v>
      </c>
      <c r="D88" s="372"/>
      <c r="E88" s="372"/>
      <c r="F88" s="372"/>
      <c r="G88" s="380" t="str">
        <f>F4</f>
        <v>RQF8 Doctorate</v>
      </c>
      <c r="H88" s="372"/>
      <c r="I88" s="372"/>
      <c r="J88" s="372"/>
      <c r="K88" s="380" t="str">
        <f>J4</f>
        <v>RQF7 Other higher degree</v>
      </c>
      <c r="L88" s="372"/>
      <c r="M88" s="372"/>
      <c r="N88" s="373" t="str">
        <f>N4</f>
        <v>RQF6 First degree</v>
      </c>
      <c r="O88" s="373"/>
      <c r="P88" s="373"/>
      <c r="Q88" s="372"/>
      <c r="R88" s="373" t="str">
        <f>R4</f>
        <v>RQF5 Foundation degree;Nursing;Teaching</v>
      </c>
      <c r="S88" s="373"/>
      <c r="T88" s="373"/>
      <c r="U88" s="372"/>
      <c r="V88" s="373" t="str">
        <f>V4</f>
        <v>RQF4 HE below degree level</v>
      </c>
      <c r="W88" s="373"/>
      <c r="X88" s="373"/>
      <c r="Y88" s="372"/>
      <c r="Z88" s="373" t="str">
        <f>Z4</f>
        <v>RQF3 A level &amp; equivalent</v>
      </c>
      <c r="AA88" s="373"/>
      <c r="AB88" s="373"/>
      <c r="AC88" s="372"/>
      <c r="AD88" s="373" t="str">
        <f>AD4</f>
        <v>RQF2 GCSE(A-C) &amp; equivalent</v>
      </c>
      <c r="AE88" s="373"/>
      <c r="AF88" s="373"/>
      <c r="AG88" s="372"/>
      <c r="AH88" s="373" t="str">
        <f>AH4</f>
        <v>RQF1 GCSE(below grade C) &amp; equivalent</v>
      </c>
      <c r="AI88" s="373"/>
      <c r="AJ88" s="373"/>
      <c r="AK88" s="372"/>
      <c r="AL88" s="372"/>
      <c r="AM88" s="380" t="str">
        <f>AL4</f>
        <v>No Qualification</v>
      </c>
      <c r="AN88" s="372"/>
    </row>
    <row r="89" spans="1:40">
      <c r="A89" s="364"/>
      <c r="B89" s="33">
        <f>B5</f>
        <v>2020</v>
      </c>
      <c r="C89" s="33">
        <f>C5</f>
        <v>2025</v>
      </c>
      <c r="D89" s="33">
        <f>D5</f>
        <v>2035</v>
      </c>
      <c r="E89" s="364"/>
      <c r="F89" s="28">
        <f>B89</f>
        <v>2020</v>
      </c>
      <c r="G89" s="28">
        <f>C89</f>
        <v>2025</v>
      </c>
      <c r="H89" s="28">
        <f>D89</f>
        <v>2035</v>
      </c>
      <c r="I89" s="364"/>
      <c r="J89" s="28">
        <f>B89</f>
        <v>2020</v>
      </c>
      <c r="K89" s="28">
        <f>C89</f>
        <v>2025</v>
      </c>
      <c r="L89" s="28">
        <f>D89</f>
        <v>2035</v>
      </c>
      <c r="M89" s="364"/>
      <c r="N89" s="28">
        <f>B89</f>
        <v>2020</v>
      </c>
      <c r="O89" s="28">
        <f>C89</f>
        <v>2025</v>
      </c>
      <c r="P89" s="28">
        <f>D89</f>
        <v>2035</v>
      </c>
      <c r="Q89" s="364"/>
      <c r="R89" s="28">
        <f>F89</f>
        <v>2020</v>
      </c>
      <c r="S89" s="28">
        <f>G89</f>
        <v>2025</v>
      </c>
      <c r="T89" s="28">
        <f>H89</f>
        <v>2035</v>
      </c>
      <c r="U89" s="364"/>
      <c r="V89" s="28">
        <f>J89</f>
        <v>2020</v>
      </c>
      <c r="W89" s="28">
        <f>K89</f>
        <v>2025</v>
      </c>
      <c r="X89" s="28">
        <f>L89</f>
        <v>2035</v>
      </c>
      <c r="Y89" s="364"/>
      <c r="Z89" s="28">
        <f>N89</f>
        <v>2020</v>
      </c>
      <c r="AA89" s="28">
        <f>O89</f>
        <v>2025</v>
      </c>
      <c r="AB89" s="28">
        <f>P89</f>
        <v>2035</v>
      </c>
      <c r="AC89" s="364"/>
      <c r="AD89" s="28">
        <f>R89</f>
        <v>2020</v>
      </c>
      <c r="AE89" s="28">
        <f>S89</f>
        <v>2025</v>
      </c>
      <c r="AF89" s="28">
        <f>T89</f>
        <v>2035</v>
      </c>
      <c r="AG89" s="364"/>
      <c r="AH89" s="28">
        <f>V89</f>
        <v>2020</v>
      </c>
      <c r="AI89" s="28">
        <f>W89</f>
        <v>2025</v>
      </c>
      <c r="AJ89" s="28">
        <f>X89</f>
        <v>2035</v>
      </c>
      <c r="AK89" s="364"/>
      <c r="AL89" s="28">
        <f>Z89</f>
        <v>2020</v>
      </c>
      <c r="AM89" s="28">
        <f>AA89</f>
        <v>2025</v>
      </c>
      <c r="AN89" s="28">
        <f>AB89</f>
        <v>2035</v>
      </c>
    </row>
    <row r="90" spans="1:40">
      <c r="A90" s="65"/>
      <c r="B90" s="363"/>
      <c r="C90" s="363"/>
      <c r="D90" s="363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H90" s="65"/>
      <c r="AI90" s="65"/>
      <c r="AJ90" s="65"/>
      <c r="AK90" s="65"/>
      <c r="AL90" s="65"/>
      <c r="AM90" s="65"/>
      <c r="AN90" s="65"/>
    </row>
    <row r="91" spans="1:40">
      <c r="A91" s="1" t="str">
        <f>name!C9</f>
        <v>Non-marketed services</v>
      </c>
      <c r="B91" s="65"/>
      <c r="C91" s="65"/>
      <c r="D91" s="65"/>
      <c r="E91" s="165"/>
      <c r="F91" s="165"/>
      <c r="G91" s="165"/>
      <c r="H91" s="165"/>
      <c r="I91" s="165"/>
      <c r="J91" s="165"/>
      <c r="K91" s="165"/>
      <c r="L91" s="165"/>
      <c r="M91" s="165"/>
      <c r="N91" s="165"/>
      <c r="O91" s="165"/>
      <c r="P91" s="165"/>
      <c r="Q91" s="165"/>
      <c r="R91" s="165"/>
      <c r="S91" s="165"/>
      <c r="T91" s="165"/>
      <c r="U91" s="165"/>
      <c r="V91" s="165"/>
      <c r="W91" s="165"/>
      <c r="X91" s="165"/>
      <c r="Y91" s="165"/>
      <c r="Z91" s="165"/>
      <c r="AA91" s="165"/>
      <c r="AB91" s="165"/>
      <c r="AC91" s="165"/>
      <c r="AD91" s="165"/>
      <c r="AE91" s="165"/>
      <c r="AF91" s="165"/>
      <c r="AG91" s="165"/>
      <c r="AH91" s="165"/>
      <c r="AI91" s="165"/>
      <c r="AJ91" s="165"/>
      <c r="AK91" s="165"/>
      <c r="AL91" s="165"/>
      <c r="AM91" s="165"/>
      <c r="AN91" s="165"/>
    </row>
    <row r="92" spans="1:40">
      <c r="A92" s="65" t="str">
        <f t="shared" ref="A92:A101" si="80">A8</f>
        <v>All occupations</v>
      </c>
      <c r="B92" s="375">
        <f>SUM(B93:B101)</f>
        <v>132.11399999999995</v>
      </c>
      <c r="C92" s="375">
        <f>SUM(C93:C101)</f>
        <v>138.34700000000004</v>
      </c>
      <c r="D92" s="375">
        <f>SUM(D93:D101)</f>
        <v>146.59199999999993</v>
      </c>
      <c r="E92" s="376"/>
      <c r="F92" s="375">
        <f>SUM(F93:F101)</f>
        <v>4.2441868259555546</v>
      </c>
      <c r="G92" s="375">
        <f>SUM(G93:G101)</f>
        <v>5.4203796881834245</v>
      </c>
      <c r="H92" s="375">
        <f>SUM(H93:H101)</f>
        <v>7.7609939003338955</v>
      </c>
      <c r="I92" s="376"/>
      <c r="J92" s="375">
        <f>SUM(J93:J101)</f>
        <v>23.507531258689419</v>
      </c>
      <c r="K92" s="375">
        <f>SUM(K93:K101)</f>
        <v>28.973535041877859</v>
      </c>
      <c r="L92" s="375">
        <f>SUM(L93:L101)</f>
        <v>39.777790282768336</v>
      </c>
      <c r="M92" s="376"/>
      <c r="N92" s="375">
        <f>SUM(N93:N101)</f>
        <v>32.243752157124987</v>
      </c>
      <c r="O92" s="375">
        <f>SUM(O93:O101)</f>
        <v>34.774154011827882</v>
      </c>
      <c r="P92" s="375">
        <f>SUM(P93:P101)</f>
        <v>39.068263296341684</v>
      </c>
      <c r="Q92" s="376"/>
      <c r="R92" s="375">
        <f>SUM(R93:R101)</f>
        <v>13.038248873495624</v>
      </c>
      <c r="S92" s="375">
        <f>SUM(S93:S101)</f>
        <v>11.150130725367958</v>
      </c>
      <c r="T92" s="375">
        <f>SUM(T93:T101)</f>
        <v>9.840645677588487</v>
      </c>
      <c r="U92" s="376"/>
      <c r="V92" s="375">
        <f>SUM(V93:V101)</f>
        <v>5.7957979244219864</v>
      </c>
      <c r="W92" s="375">
        <f>SUM(W93:W101)</f>
        <v>5.8185535544256943</v>
      </c>
      <c r="X92" s="375">
        <f>SUM(X93:X101)</f>
        <v>6.3917452622985076</v>
      </c>
      <c r="Y92" s="376"/>
      <c r="Z92" s="375">
        <f>SUM(Z93:Z101)</f>
        <v>25.856945804231756</v>
      </c>
      <c r="AA92" s="375">
        <f>SUM(AA93:AA101)</f>
        <v>27.535297847066555</v>
      </c>
      <c r="AB92" s="375">
        <f>SUM(AB93:AB101)</f>
        <v>27.029102739451151</v>
      </c>
      <c r="AC92" s="376"/>
      <c r="AD92" s="375">
        <f>SUM(AD93:AD101)</f>
        <v>19.234193700425735</v>
      </c>
      <c r="AE92" s="375">
        <f>SUM(AE93:AE101)</f>
        <v>18.966298016924522</v>
      </c>
      <c r="AF92" s="375">
        <f>SUM(AF93:AF101)</f>
        <v>13.722078338675864</v>
      </c>
      <c r="AG92" s="376"/>
      <c r="AH92" s="375">
        <f>SUM(AH93:AH101)</f>
        <v>6.3437240226542997</v>
      </c>
      <c r="AI92" s="375">
        <f>SUM(AI93:AI101)</f>
        <v>4.5406229290577622</v>
      </c>
      <c r="AJ92" s="375">
        <f>SUM(AJ93:AJ101)</f>
        <v>2.1190026309516607</v>
      </c>
      <c r="AK92" s="376"/>
      <c r="AL92" s="375">
        <f>SUM(AL93:AL101)</f>
        <v>1.8496194330005553</v>
      </c>
      <c r="AM92" s="375">
        <f>SUM(AM93:AM101)</f>
        <v>1.1680281852683678</v>
      </c>
      <c r="AN92" s="375">
        <f>SUM(AN93:AN101)</f>
        <v>0.88237787159037173</v>
      </c>
    </row>
    <row r="93" spans="1:40">
      <c r="A93" s="65" t="str">
        <f t="shared" si="80"/>
        <v>Managers, directors and senior officials</v>
      </c>
      <c r="B93" s="375">
        <f>SUM(F93,J93,N93,R93,V93,Z93,AD93,AH93,AL93)</f>
        <v>5.5703397146661198</v>
      </c>
      <c r="C93" s="375">
        <f t="shared" ref="C93:D93" si="81">SUM(G93,K93,O93,S93,W93,AA93,AE93,AI93,AM93)</f>
        <v>5.3911850378259336</v>
      </c>
      <c r="D93" s="375">
        <f t="shared" si="81"/>
        <v>6.0187889982408791</v>
      </c>
      <c r="E93" s="376"/>
      <c r="F93" s="376">
        <v>0.11572485114635901</v>
      </c>
      <c r="G93" s="376">
        <v>0.14930718072355759</v>
      </c>
      <c r="H93" s="376">
        <v>0.24578286853193873</v>
      </c>
      <c r="I93" s="376"/>
      <c r="J93" s="376">
        <v>1.0822263381649451</v>
      </c>
      <c r="K93" s="376">
        <v>1.2026774172347476</v>
      </c>
      <c r="L93" s="376">
        <v>1.5981124790757264</v>
      </c>
      <c r="M93" s="376"/>
      <c r="N93" s="376">
        <v>1.661852822880443</v>
      </c>
      <c r="O93" s="376">
        <v>1.6102266953966566</v>
      </c>
      <c r="P93" s="376">
        <v>1.8060673649329453</v>
      </c>
      <c r="Q93" s="376"/>
      <c r="R93" s="376">
        <v>0.97713526838601727</v>
      </c>
      <c r="S93" s="376">
        <v>0.89981949730278743</v>
      </c>
      <c r="T93" s="376">
        <v>0.97964973169682024</v>
      </c>
      <c r="U93" s="376"/>
      <c r="V93" s="376">
        <v>0.21621382740385256</v>
      </c>
      <c r="W93" s="376">
        <v>0.17615482285947662</v>
      </c>
      <c r="X93" s="376">
        <v>0.16854905645675081</v>
      </c>
      <c r="Y93" s="376"/>
      <c r="Z93" s="376">
        <v>0.83098912652024592</v>
      </c>
      <c r="AA93" s="376">
        <v>0.75245532811575477</v>
      </c>
      <c r="AB93" s="376">
        <v>0.7042018960195614</v>
      </c>
      <c r="AC93" s="376"/>
      <c r="AD93" s="376">
        <v>0.40377973392161443</v>
      </c>
      <c r="AE93" s="376">
        <v>0.37412101287485566</v>
      </c>
      <c r="AF93" s="376">
        <v>0.32781081834731723</v>
      </c>
      <c r="AG93" s="376"/>
      <c r="AH93" s="376">
        <v>0.14414948925050383</v>
      </c>
      <c r="AI93" s="376">
        <v>0.11133663089398553</v>
      </c>
      <c r="AJ93" s="376">
        <v>7.6194062992789677E-2</v>
      </c>
      <c r="AK93" s="376"/>
      <c r="AL93" s="376">
        <v>0.13826825699213882</v>
      </c>
      <c r="AM93" s="376">
        <v>0.11508645242411178</v>
      </c>
      <c r="AN93" s="376">
        <v>0.11242072018702889</v>
      </c>
    </row>
    <row r="94" spans="1:40">
      <c r="A94" s="65" t="str">
        <f t="shared" si="80"/>
        <v>Professional occupations</v>
      </c>
      <c r="B94" s="375">
        <f t="shared" ref="B94:B101" si="82">SUM(F94,J94,N94,R94,V94,Z94,AD94,AH94,AL94)</f>
        <v>49.692328732234813</v>
      </c>
      <c r="C94" s="375">
        <f t="shared" ref="C94:C101" si="83">SUM(G94,K94,O94,S94,W94,AA94,AE94,AI94,AM94)</f>
        <v>51.075328024947616</v>
      </c>
      <c r="D94" s="375">
        <f t="shared" ref="D94:D101" si="84">SUM(H94,L94,P94,T94,X94,AB94,AF94,AJ94,AN94)</f>
        <v>56.719950329840081</v>
      </c>
      <c r="E94" s="375"/>
      <c r="F94" s="376">
        <v>3.832140993223184</v>
      </c>
      <c r="G94" s="376">
        <v>4.8383938496847252</v>
      </c>
      <c r="H94" s="376">
        <v>6.7743342637430963</v>
      </c>
      <c r="I94" s="376"/>
      <c r="J94" s="376">
        <v>17.331356798007519</v>
      </c>
      <c r="K94" s="376">
        <v>20.450085172041007</v>
      </c>
      <c r="L94" s="376">
        <v>26.627012143651388</v>
      </c>
      <c r="M94" s="376"/>
      <c r="N94" s="376">
        <v>17.047181103325293</v>
      </c>
      <c r="O94" s="376">
        <v>16.284948033494192</v>
      </c>
      <c r="P94" s="376">
        <v>16.088545129993889</v>
      </c>
      <c r="Q94" s="376"/>
      <c r="R94" s="376">
        <v>3.865522321231194</v>
      </c>
      <c r="S94" s="376">
        <v>2.0652236842330294</v>
      </c>
      <c r="T94" s="376">
        <v>0.90110819242241247</v>
      </c>
      <c r="U94" s="376"/>
      <c r="V94" s="376">
        <v>1.0388903464161796</v>
      </c>
      <c r="W94" s="376">
        <v>1.0289592075137177</v>
      </c>
      <c r="X94" s="376">
        <v>1.0658835557750994</v>
      </c>
      <c r="Y94" s="376"/>
      <c r="Z94" s="376">
        <v>3.1365123528627374</v>
      </c>
      <c r="AA94" s="376">
        <v>3.1993411064576747</v>
      </c>
      <c r="AB94" s="376">
        <v>2.9877744051337243</v>
      </c>
      <c r="AC94" s="376"/>
      <c r="AD94" s="376">
        <v>2.0063573633075693</v>
      </c>
      <c r="AE94" s="376">
        <v>2.0042178189208801</v>
      </c>
      <c r="AF94" s="376">
        <v>1.5541522683907329</v>
      </c>
      <c r="AG94" s="376"/>
      <c r="AH94" s="376">
        <v>1.1822007664613099</v>
      </c>
      <c r="AI94" s="376">
        <v>1.0022800640933045</v>
      </c>
      <c r="AJ94" s="376">
        <v>0.54075695968644921</v>
      </c>
      <c r="AK94" s="376"/>
      <c r="AL94" s="376">
        <v>0.2521666873998224</v>
      </c>
      <c r="AM94" s="376">
        <v>0.20187908850908512</v>
      </c>
      <c r="AN94" s="376">
        <v>0.18038341104328615</v>
      </c>
    </row>
    <row r="95" spans="1:40">
      <c r="A95" s="65" t="str">
        <f t="shared" si="80"/>
        <v>Associate professional occupations</v>
      </c>
      <c r="B95" s="375">
        <f t="shared" si="82"/>
        <v>19.102467495855407</v>
      </c>
      <c r="C95" s="375">
        <f t="shared" si="83"/>
        <v>24.316529197490144</v>
      </c>
      <c r="D95" s="375">
        <f t="shared" si="84"/>
        <v>27.879155045042204</v>
      </c>
      <c r="E95" s="375"/>
      <c r="F95" s="376">
        <v>0.15405410998344618</v>
      </c>
      <c r="G95" s="376">
        <v>0.24084984394939671</v>
      </c>
      <c r="H95" s="376">
        <v>0.46330974589785912</v>
      </c>
      <c r="I95" s="376"/>
      <c r="J95" s="376">
        <v>2.4257642228131377</v>
      </c>
      <c r="K95" s="376">
        <v>3.7627316958784123</v>
      </c>
      <c r="L95" s="376">
        <v>6.2454408856268024</v>
      </c>
      <c r="M95" s="376"/>
      <c r="N95" s="376">
        <v>5.8081682533860786</v>
      </c>
      <c r="O95" s="376">
        <v>8.0154209002916499</v>
      </c>
      <c r="P95" s="376">
        <v>10.132018336764945</v>
      </c>
      <c r="Q95" s="376"/>
      <c r="R95" s="376">
        <v>2.5847216423278163</v>
      </c>
      <c r="S95" s="376">
        <v>2.7069426198232489</v>
      </c>
      <c r="T95" s="376">
        <v>2.0208631760567775</v>
      </c>
      <c r="U95" s="376"/>
      <c r="V95" s="376">
        <v>0.99788256131886</v>
      </c>
      <c r="W95" s="376">
        <v>1.0718555000802632</v>
      </c>
      <c r="X95" s="376">
        <v>1.204875989039949</v>
      </c>
      <c r="Y95" s="376"/>
      <c r="Z95" s="376">
        <v>3.4648682488199496</v>
      </c>
      <c r="AA95" s="376">
        <v>4.4708252430232749</v>
      </c>
      <c r="AB95" s="376">
        <v>4.6610680399321511</v>
      </c>
      <c r="AC95" s="376"/>
      <c r="AD95" s="376">
        <v>2.3985740437712209</v>
      </c>
      <c r="AE95" s="376">
        <v>2.9446900483597394</v>
      </c>
      <c r="AF95" s="376">
        <v>2.3843250789287662</v>
      </c>
      <c r="AG95" s="376"/>
      <c r="AH95" s="376">
        <v>1.0576651083680908</v>
      </c>
      <c r="AI95" s="376">
        <v>0.94403750716140833</v>
      </c>
      <c r="AJ95" s="376">
        <v>0.56824289846036158</v>
      </c>
      <c r="AK95" s="376"/>
      <c r="AL95" s="376">
        <v>0.21076930506680938</v>
      </c>
      <c r="AM95" s="376">
        <v>0.15917583892275253</v>
      </c>
      <c r="AN95" s="376">
        <v>0.19901089433459254</v>
      </c>
    </row>
    <row r="96" spans="1:40">
      <c r="A96" s="65" t="str">
        <f t="shared" si="80"/>
        <v>Administrative and secretarial occupations</v>
      </c>
      <c r="B96" s="375">
        <f t="shared" si="82"/>
        <v>13.342615228150416</v>
      </c>
      <c r="C96" s="375">
        <f t="shared" si="83"/>
        <v>12.886645077289629</v>
      </c>
      <c r="D96" s="375">
        <f t="shared" si="84"/>
        <v>9.4941324453997176</v>
      </c>
      <c r="E96" s="375"/>
      <c r="F96" s="376">
        <v>8.8375675220317862E-2</v>
      </c>
      <c r="G96" s="376">
        <v>0.11848249357871179</v>
      </c>
      <c r="H96" s="376">
        <v>0.17195519445554083</v>
      </c>
      <c r="I96" s="376"/>
      <c r="J96" s="376">
        <v>0.99740613465266303</v>
      </c>
      <c r="K96" s="376">
        <v>1.214423697486384</v>
      </c>
      <c r="L96" s="376">
        <v>1.0566002966903971</v>
      </c>
      <c r="M96" s="376"/>
      <c r="N96" s="376">
        <v>2.5250952761351053</v>
      </c>
      <c r="O96" s="376">
        <v>2.8018246797010362</v>
      </c>
      <c r="P96" s="376">
        <v>3.0897230308189458</v>
      </c>
      <c r="Q96" s="376"/>
      <c r="R96" s="376">
        <v>1.5019198882357392</v>
      </c>
      <c r="S96" s="376">
        <v>1.6320711303229847</v>
      </c>
      <c r="T96" s="376">
        <v>1.7916405499500057</v>
      </c>
      <c r="U96" s="376"/>
      <c r="V96" s="376">
        <v>0.9455056930411766</v>
      </c>
      <c r="W96" s="376">
        <v>0.94935387581901232</v>
      </c>
      <c r="X96" s="376">
        <v>0.95837035630627476</v>
      </c>
      <c r="Y96" s="376"/>
      <c r="Z96" s="376">
        <v>2.8656297790822354</v>
      </c>
      <c r="AA96" s="376">
        <v>2.8936476468238141</v>
      </c>
      <c r="AB96" s="376">
        <v>1.64509540051925</v>
      </c>
      <c r="AC96" s="376"/>
      <c r="AD96" s="376">
        <v>2.7068385447367276</v>
      </c>
      <c r="AE96" s="376">
        <v>2.2239298402228074</v>
      </c>
      <c r="AF96" s="376">
        <v>0.66703540502500891</v>
      </c>
      <c r="AG96" s="376"/>
      <c r="AH96" s="376">
        <v>1.429865045150446</v>
      </c>
      <c r="AI96" s="376">
        <v>0.90905786163313651</v>
      </c>
      <c r="AJ96" s="376">
        <v>9.3574486943783244E-2</v>
      </c>
      <c r="AK96" s="376"/>
      <c r="AL96" s="376">
        <v>0.2819791918960044</v>
      </c>
      <c r="AM96" s="376">
        <v>0.14385385170174236</v>
      </c>
      <c r="AN96" s="376">
        <v>2.0137724690510981E-2</v>
      </c>
    </row>
    <row r="97" spans="1:40">
      <c r="A97" s="65" t="str">
        <f t="shared" si="80"/>
        <v>Skilled trades occupations</v>
      </c>
      <c r="B97" s="375">
        <f t="shared" si="82"/>
        <v>1.6489008636936555</v>
      </c>
      <c r="C97" s="375">
        <f t="shared" si="83"/>
        <v>1.5798936447771865</v>
      </c>
      <c r="D97" s="375">
        <f t="shared" si="84"/>
        <v>1.3611155619927866</v>
      </c>
      <c r="E97" s="376"/>
      <c r="F97" s="376">
        <v>1.3774953522858265E-2</v>
      </c>
      <c r="G97" s="376">
        <v>1.6989894631730302E-2</v>
      </c>
      <c r="H97" s="376">
        <v>1.6626431726968864E-2</v>
      </c>
      <c r="I97" s="376"/>
      <c r="J97" s="376">
        <v>3.7319774053924823E-2</v>
      </c>
      <c r="K97" s="376">
        <v>5.0722012288559673E-2</v>
      </c>
      <c r="L97" s="376">
        <v>6.0903185639310693E-2</v>
      </c>
      <c r="M97" s="376"/>
      <c r="N97" s="376">
        <v>0.17628642318130072</v>
      </c>
      <c r="O97" s="376">
        <v>0.22836430519008233</v>
      </c>
      <c r="P97" s="376">
        <v>0.29878734039438692</v>
      </c>
      <c r="Q97" s="376"/>
      <c r="R97" s="376">
        <v>7.4354271543250014E-2</v>
      </c>
      <c r="S97" s="376">
        <v>7.6201569586860363E-2</v>
      </c>
      <c r="T97" s="376">
        <v>8.2754150309499702E-2</v>
      </c>
      <c r="U97" s="376"/>
      <c r="V97" s="376">
        <v>5.659450224574334E-2</v>
      </c>
      <c r="W97" s="376">
        <v>5.5857945489114914E-2</v>
      </c>
      <c r="X97" s="376">
        <v>6.2357225670755016E-2</v>
      </c>
      <c r="Y97" s="376"/>
      <c r="Z97" s="376">
        <v>0.37739652746128427</v>
      </c>
      <c r="AA97" s="376">
        <v>0.34021752755777523</v>
      </c>
      <c r="AB97" s="376">
        <v>0.28710231403048797</v>
      </c>
      <c r="AC97" s="376"/>
      <c r="AD97" s="376">
        <v>0.51783209425367438</v>
      </c>
      <c r="AE97" s="376">
        <v>0.48372891876339075</v>
      </c>
      <c r="AF97" s="376">
        <v>0.28670002435167619</v>
      </c>
      <c r="AG97" s="376"/>
      <c r="AH97" s="376">
        <v>0.30269621136082553</v>
      </c>
      <c r="AI97" s="376">
        <v>0.26663935071454659</v>
      </c>
      <c r="AJ97" s="376">
        <v>0.23333673005816899</v>
      </c>
      <c r="AK97" s="376"/>
      <c r="AL97" s="376">
        <v>9.2646106070793849E-2</v>
      </c>
      <c r="AM97" s="376">
        <v>6.1172120555126441E-2</v>
      </c>
      <c r="AN97" s="376">
        <v>3.2548159811532175E-2</v>
      </c>
    </row>
    <row r="98" spans="1:40">
      <c r="A98" s="65" t="str">
        <f t="shared" si="80"/>
        <v>Caring, leisure and other service occupations</v>
      </c>
      <c r="B98" s="375">
        <f t="shared" si="82"/>
        <v>36.212854428398991</v>
      </c>
      <c r="C98" s="375">
        <f t="shared" si="83"/>
        <v>37.491933289364084</v>
      </c>
      <c r="D98" s="375">
        <f t="shared" si="84"/>
        <v>40.415576052231174</v>
      </c>
      <c r="E98" s="376"/>
      <c r="F98" s="376">
        <v>2.1582606497569733E-2</v>
      </c>
      <c r="G98" s="376">
        <v>2.9690175972360001E-2</v>
      </c>
      <c r="H98" s="376">
        <v>5.2046099299938628E-2</v>
      </c>
      <c r="I98" s="376"/>
      <c r="J98" s="376">
        <v>1.3972111620617091</v>
      </c>
      <c r="K98" s="376">
        <v>1.9989535111628287</v>
      </c>
      <c r="L98" s="376">
        <v>3.8191483401299564</v>
      </c>
      <c r="M98" s="376"/>
      <c r="N98" s="376">
        <v>4.4089520392190842</v>
      </c>
      <c r="O98" s="376">
        <v>5.1141929694316257</v>
      </c>
      <c r="P98" s="376">
        <v>6.7381907958058989</v>
      </c>
      <c r="Q98" s="376"/>
      <c r="R98" s="376">
        <v>3.6545079501350743</v>
      </c>
      <c r="S98" s="376">
        <v>3.3905460915263217</v>
      </c>
      <c r="T98" s="376">
        <v>3.6446235050728411</v>
      </c>
      <c r="U98" s="376"/>
      <c r="V98" s="376">
        <v>2.2025267828193371</v>
      </c>
      <c r="W98" s="376">
        <v>2.1532796598347765</v>
      </c>
      <c r="X98" s="376">
        <v>2.4695978199752213</v>
      </c>
      <c r="Y98" s="376"/>
      <c r="Z98" s="376">
        <v>13.823227677879121</v>
      </c>
      <c r="AA98" s="376">
        <v>14.630063685915824</v>
      </c>
      <c r="AB98" s="376">
        <v>15.679608200870545</v>
      </c>
      <c r="AC98" s="376"/>
      <c r="AD98" s="376">
        <v>9.4490972312708266</v>
      </c>
      <c r="AE98" s="376">
        <v>9.4807438325757953</v>
      </c>
      <c r="AF98" s="376">
        <v>7.6247742193847463</v>
      </c>
      <c r="AG98" s="376"/>
      <c r="AH98" s="376">
        <v>1.0189153863151912</v>
      </c>
      <c r="AI98" s="376">
        <v>0.54455341569367488</v>
      </c>
      <c r="AJ98" s="376">
        <v>0.31328643355621599</v>
      </c>
      <c r="AK98" s="376"/>
      <c r="AL98" s="376">
        <v>0.2368335922010826</v>
      </c>
      <c r="AM98" s="376">
        <v>0.14990994725087667</v>
      </c>
      <c r="AN98" s="376">
        <v>7.4300638135810282E-2</v>
      </c>
    </row>
    <row r="99" spans="1:40">
      <c r="A99" s="65" t="str">
        <f t="shared" si="80"/>
        <v>Sales and customer service occupations</v>
      </c>
      <c r="B99" s="375">
        <f t="shared" si="82"/>
        <v>1.532500798758023</v>
      </c>
      <c r="C99" s="375">
        <f t="shared" si="83"/>
        <v>1.6651541371323886</v>
      </c>
      <c r="D99" s="375">
        <f>SUM(H99,L99,P99,T99,X99,AB99,AF99,AJ99,AN99)</f>
        <v>1.6892344680277074</v>
      </c>
      <c r="E99" s="376"/>
      <c r="F99" s="376">
        <v>8.1704741335544683E-3</v>
      </c>
      <c r="G99" s="376">
        <v>1.1835068065081734E-2</v>
      </c>
      <c r="H99" s="376">
        <v>1.6886957499996795E-2</v>
      </c>
      <c r="I99" s="376"/>
      <c r="J99" s="376">
        <v>0.16027892926963655</v>
      </c>
      <c r="K99" s="376">
        <v>0.207494094922127</v>
      </c>
      <c r="L99" s="376">
        <v>0.26082107262276094</v>
      </c>
      <c r="M99" s="376"/>
      <c r="N99" s="376">
        <v>0.36078075355153172</v>
      </c>
      <c r="O99" s="376">
        <v>0.4073001579042026</v>
      </c>
      <c r="P99" s="376">
        <v>0.46972235890041292</v>
      </c>
      <c r="Q99" s="376"/>
      <c r="R99" s="376">
        <v>0.19848914572955723</v>
      </c>
      <c r="S99" s="376">
        <v>0.18109291320184367</v>
      </c>
      <c r="T99" s="376">
        <v>0.18512138278845278</v>
      </c>
      <c r="U99" s="376"/>
      <c r="V99" s="376">
        <v>0.12272532974193072</v>
      </c>
      <c r="W99" s="376">
        <v>0.13915563286066585</v>
      </c>
      <c r="X99" s="376">
        <v>0.15846605495093974</v>
      </c>
      <c r="Y99" s="376"/>
      <c r="Z99" s="376">
        <v>0.30150577645588822</v>
      </c>
      <c r="AA99" s="376">
        <v>0.32968125964130451</v>
      </c>
      <c r="AB99" s="376">
        <v>0.32141504617511946</v>
      </c>
      <c r="AC99" s="376"/>
      <c r="AD99" s="376">
        <v>0.25127823169742119</v>
      </c>
      <c r="AE99" s="376">
        <v>0.26712489369676473</v>
      </c>
      <c r="AF99" s="376">
        <v>0.1838782580878239</v>
      </c>
      <c r="AG99" s="376"/>
      <c r="AH99" s="376">
        <v>7.9111176092035773E-2</v>
      </c>
      <c r="AI99" s="376">
        <v>7.3643857325748865E-2</v>
      </c>
      <c r="AJ99" s="376">
        <v>4.088008444654035E-2</v>
      </c>
      <c r="AK99" s="376"/>
      <c r="AL99" s="376">
        <v>5.0160982086467243E-2</v>
      </c>
      <c r="AM99" s="376">
        <v>4.7826259514649541E-2</v>
      </c>
      <c r="AN99" s="376">
        <v>5.2043252555660301E-2</v>
      </c>
    </row>
    <row r="100" spans="1:40">
      <c r="A100" s="65" t="str">
        <f t="shared" si="80"/>
        <v>Process, plant and machine operatives</v>
      </c>
      <c r="B100" s="375">
        <f t="shared" si="82"/>
        <v>1.3675197828572854</v>
      </c>
      <c r="C100" s="375">
        <f t="shared" si="83"/>
        <v>1.4567831158613098</v>
      </c>
      <c r="D100" s="375">
        <f t="shared" si="84"/>
        <v>1.4005598929876544</v>
      </c>
      <c r="E100" s="376"/>
      <c r="F100" s="376">
        <v>8.8115180528432046E-3</v>
      </c>
      <c r="G100" s="376">
        <v>1.3046386840296756E-2</v>
      </c>
      <c r="H100" s="376">
        <v>1.8209308225429679E-2</v>
      </c>
      <c r="I100" s="376"/>
      <c r="J100" s="376">
        <v>2.8560546269939317E-2</v>
      </c>
      <c r="K100" s="376">
        <v>4.9257937244949174E-2</v>
      </c>
      <c r="L100" s="376">
        <v>8.6688544180584887E-2</v>
      </c>
      <c r="M100" s="376"/>
      <c r="N100" s="376">
        <v>9.1544077875492263E-2</v>
      </c>
      <c r="O100" s="376">
        <v>0.12692368388870287</v>
      </c>
      <c r="P100" s="376">
        <v>0.18180063555740855</v>
      </c>
      <c r="Q100" s="376"/>
      <c r="R100" s="376">
        <v>4.1253457642248248E-2</v>
      </c>
      <c r="S100" s="376">
        <v>5.449932204081992E-2</v>
      </c>
      <c r="T100" s="376">
        <v>6.670999920530632E-2</v>
      </c>
      <c r="U100" s="376"/>
      <c r="V100" s="376">
        <v>0.11333725059984937</v>
      </c>
      <c r="W100" s="376">
        <v>0.13001478390152987</v>
      </c>
      <c r="X100" s="376">
        <v>0.1582885427712262</v>
      </c>
      <c r="Y100" s="376"/>
      <c r="Z100" s="376">
        <v>0.38309769400204086</v>
      </c>
      <c r="AA100" s="376">
        <v>0.43755907540453204</v>
      </c>
      <c r="AB100" s="376">
        <v>0.46663674152205592</v>
      </c>
      <c r="AC100" s="376"/>
      <c r="AD100" s="376">
        <v>0.28121716781267608</v>
      </c>
      <c r="AE100" s="376">
        <v>0.30147505145219422</v>
      </c>
      <c r="AF100" s="376">
        <v>0.20596924341281408</v>
      </c>
      <c r="AG100" s="376"/>
      <c r="AH100" s="376">
        <v>0.29465532085095564</v>
      </c>
      <c r="AI100" s="376">
        <v>0.25923410335045721</v>
      </c>
      <c r="AJ100" s="376">
        <v>0.14966693168393039</v>
      </c>
      <c r="AK100" s="376"/>
      <c r="AL100" s="376">
        <v>0.12504274975124027</v>
      </c>
      <c r="AM100" s="376">
        <v>8.4772771737827782E-2</v>
      </c>
      <c r="AN100" s="376">
        <v>6.6589946428898261E-2</v>
      </c>
    </row>
    <row r="101" spans="1:40">
      <c r="A101" s="364" t="str">
        <f t="shared" si="80"/>
        <v>Elementary occupations</v>
      </c>
      <c r="B101" s="378">
        <f t="shared" si="82"/>
        <v>3.6444729553852162</v>
      </c>
      <c r="C101" s="378">
        <f t="shared" si="83"/>
        <v>2.4835484753117392</v>
      </c>
      <c r="D101" s="378">
        <f t="shared" si="84"/>
        <v>1.6134872062377612</v>
      </c>
      <c r="E101" s="378"/>
      <c r="F101" s="378">
        <v>1.5516441754216237E-3</v>
      </c>
      <c r="G101" s="378">
        <v>1.7847947375654316E-3</v>
      </c>
      <c r="H101" s="378">
        <v>1.8430309531261538E-3</v>
      </c>
      <c r="I101" s="378"/>
      <c r="J101" s="378">
        <v>4.7407353395946712E-2</v>
      </c>
      <c r="K101" s="378">
        <v>3.7189503618849415E-2</v>
      </c>
      <c r="L101" s="378">
        <v>2.3063335151409525E-2</v>
      </c>
      <c r="M101" s="378"/>
      <c r="N101" s="378">
        <v>0.16389140757065762</v>
      </c>
      <c r="O101" s="378">
        <v>0.18495258652972674</v>
      </c>
      <c r="P101" s="378">
        <v>0.26340830317285241</v>
      </c>
      <c r="Q101" s="378"/>
      <c r="R101" s="378">
        <v>0.14034492826472961</v>
      </c>
      <c r="S101" s="378">
        <v>0.14373389733006234</v>
      </c>
      <c r="T101" s="378">
        <v>0.16817499008637268</v>
      </c>
      <c r="U101" s="378"/>
      <c r="V101" s="378">
        <v>0.10212163083505771</v>
      </c>
      <c r="W101" s="378">
        <v>0.11392212606713731</v>
      </c>
      <c r="X101" s="378">
        <v>0.14535666135229153</v>
      </c>
      <c r="Y101" s="378"/>
      <c r="Z101" s="378">
        <v>0.67371862114825753</v>
      </c>
      <c r="AA101" s="378">
        <v>0.48150697412660376</v>
      </c>
      <c r="AB101" s="378">
        <v>0.27620069524825691</v>
      </c>
      <c r="AC101" s="378"/>
      <c r="AD101" s="378">
        <v>1.2192192896540066</v>
      </c>
      <c r="AE101" s="378">
        <v>0.88626660005809876</v>
      </c>
      <c r="AF101" s="378">
        <v>0.48743302274697853</v>
      </c>
      <c r="AG101" s="378"/>
      <c r="AH101" s="378">
        <v>0.83446551880494213</v>
      </c>
      <c r="AI101" s="378">
        <v>0.4298401381914998</v>
      </c>
      <c r="AJ101" s="378">
        <v>0.10306404312342105</v>
      </c>
      <c r="AK101" s="378"/>
      <c r="AL101" s="378">
        <v>0.46175256153619643</v>
      </c>
      <c r="AM101" s="378">
        <v>0.2043518546521956</v>
      </c>
      <c r="AN101" s="378">
        <v>0.14494312440305226</v>
      </c>
    </row>
  </sheetData>
  <mergeCells count="23">
    <mergeCell ref="B4:D4"/>
    <mergeCell ref="V4:X4"/>
    <mergeCell ref="R4:T4"/>
    <mergeCell ref="N4:P4"/>
    <mergeCell ref="J4:L4"/>
    <mergeCell ref="F4:H4"/>
    <mergeCell ref="N46:P46"/>
    <mergeCell ref="R46:T46"/>
    <mergeCell ref="V46:X46"/>
    <mergeCell ref="Z46:AB46"/>
    <mergeCell ref="N88:P88"/>
    <mergeCell ref="R88:T88"/>
    <mergeCell ref="V88:X88"/>
    <mergeCell ref="AL4:AN4"/>
    <mergeCell ref="AD46:AF46"/>
    <mergeCell ref="AH46:AJ46"/>
    <mergeCell ref="AL46:AN46"/>
    <mergeCell ref="Z4:AB4"/>
    <mergeCell ref="AD88:AF88"/>
    <mergeCell ref="Z88:AB88"/>
    <mergeCell ref="AH88:AJ88"/>
    <mergeCell ref="AD4:AF4"/>
    <mergeCell ref="AH4:AJ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>
      <c r="A1" s="353" t="str">
        <f>CONCATENATE("Basic Table 2  Employment Change by Occupation and Replacement Demand, ",name!F4,", ",B$6,"-",F$6,", ",Info!B5)</f>
        <v>Basic Table 2  Employment Change by Occupation and Replacement Demand, RQF8 Doctorate, 2015-2035, Black Country</v>
      </c>
      <c r="B1" s="353"/>
      <c r="C1" s="353"/>
      <c r="D1" s="353"/>
      <c r="E1" s="353"/>
      <c r="F1" s="353"/>
      <c r="G1" s="353"/>
      <c r="H1" s="353"/>
      <c r="I1" s="353"/>
      <c r="J1" s="353"/>
      <c r="L1" s="353" t="str">
        <f>CONCATENATE("Basic Table 2.1  Employment Change by Occupation and Replacement Demand, ",name!F5,", ",M$6,"-",Q$6,", ",Info!B5)</f>
        <v>Basic Table 2.1  Employment Change by Occupation and Replacement Demand, RQF7 Other higher degree, 2015-2035, Black Country</v>
      </c>
      <c r="M1" s="353"/>
      <c r="N1" s="353"/>
      <c r="O1" s="353"/>
      <c r="P1" s="353"/>
      <c r="Q1" s="353"/>
      <c r="R1" s="353"/>
      <c r="S1" s="353"/>
      <c r="T1" s="353"/>
      <c r="U1" s="353"/>
      <c r="W1" s="353" t="str">
        <f>CONCATENATE("Basic Table 2.2  Employment Change by Occupation and Replacement Demand, ",name!F6,", ",X$6,"-",AB$6,", ",Info!B5)</f>
        <v>Basic Table 2.2  Employment Change by Occupation and Replacement Demand, RQF6 First degree, 2015-2035, Black Country</v>
      </c>
      <c r="X1" s="353"/>
      <c r="Y1" s="353"/>
      <c r="Z1" s="353"/>
      <c r="AA1" s="353"/>
      <c r="AB1" s="353"/>
      <c r="AC1" s="353"/>
      <c r="AD1" s="353"/>
      <c r="AE1" s="353"/>
      <c r="AF1" s="353"/>
      <c r="AH1" s="353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Black Country</v>
      </c>
      <c r="AI1" s="353"/>
      <c r="AJ1" s="353"/>
      <c r="AK1" s="353"/>
      <c r="AL1" s="353"/>
      <c r="AM1" s="353"/>
      <c r="AN1" s="353"/>
      <c r="AO1" s="353"/>
      <c r="AP1" s="353"/>
      <c r="AQ1" s="353"/>
      <c r="AS1" s="353" t="str">
        <f>CONCATENATE("Basic Table 2.4  Employment Change by Occupation and Replacement Demand, ",name!F8,", ",AT$6,"-",AX$6,", ",Info!B5)</f>
        <v>Basic Table 2.4  Employment Change by Occupation and Replacement Demand, RQF4 HE below degree level, 2015-2035, Black Country</v>
      </c>
      <c r="AT1" s="353"/>
      <c r="AU1" s="353"/>
      <c r="AV1" s="353"/>
      <c r="AW1" s="353"/>
      <c r="AX1" s="353"/>
      <c r="AY1" s="353"/>
      <c r="AZ1" s="353"/>
      <c r="BA1" s="353"/>
      <c r="BB1" s="353"/>
      <c r="BD1" s="353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Black Country</v>
      </c>
      <c r="BE1" s="353"/>
      <c r="BF1" s="353"/>
      <c r="BG1" s="353"/>
      <c r="BH1" s="353"/>
      <c r="BI1" s="353"/>
      <c r="BJ1" s="353"/>
      <c r="BK1" s="353"/>
      <c r="BL1" s="353"/>
      <c r="BM1" s="353"/>
      <c r="BO1" s="353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Black Country</v>
      </c>
      <c r="BP1" s="353"/>
      <c r="BQ1" s="353"/>
      <c r="BR1" s="353"/>
      <c r="BS1" s="353"/>
      <c r="BT1" s="353"/>
      <c r="BU1" s="353"/>
      <c r="BV1" s="353"/>
      <c r="BW1" s="353"/>
      <c r="BX1" s="353"/>
      <c r="BZ1" s="353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Black Country</v>
      </c>
      <c r="CA1" s="353"/>
      <c r="CB1" s="353"/>
      <c r="CC1" s="353"/>
      <c r="CD1" s="353"/>
      <c r="CE1" s="353"/>
      <c r="CF1" s="353"/>
      <c r="CG1" s="353"/>
      <c r="CH1" s="353"/>
      <c r="CI1" s="353"/>
      <c r="CK1" s="353" t="str">
        <f>CONCATENATE("Basic Table 2.8  Employment Change by Occupation and Replacement Demand, ",name!F12,", ",CL$6,"-",CP$6,", ",Info!B5)</f>
        <v>Basic Table 2.8  Employment Change by Occupation and Replacement Demand, No Qualification, 2015-2035, Black Country</v>
      </c>
      <c r="CL1" s="353"/>
      <c r="CM1" s="353"/>
      <c r="CN1" s="353"/>
      <c r="CO1" s="353"/>
      <c r="CP1" s="353"/>
      <c r="CQ1" s="353"/>
      <c r="CR1" s="353"/>
      <c r="CS1" s="353"/>
      <c r="CT1" s="353"/>
    </row>
    <row r="2" spans="1:98" ht="12.75" customHeight="1">
      <c r="A2" s="336" t="s">
        <v>190</v>
      </c>
      <c r="L2" s="68"/>
      <c r="W2" s="68"/>
      <c r="AH2" s="68"/>
      <c r="AS2" s="68"/>
      <c r="BD2" s="68"/>
      <c r="BO2" s="68"/>
      <c r="BZ2" s="68"/>
      <c r="CK2" s="68"/>
    </row>
    <row r="3" spans="1:98">
      <c r="F3" s="16" t="s">
        <v>112</v>
      </c>
      <c r="J3" s="16" t="s">
        <v>112</v>
      </c>
      <c r="Q3" s="16" t="s">
        <v>112</v>
      </c>
      <c r="U3" s="16" t="s">
        <v>112</v>
      </c>
      <c r="AB3" s="16" t="s">
        <v>112</v>
      </c>
      <c r="AF3" s="16" t="s">
        <v>112</v>
      </c>
      <c r="AM3" s="16" t="s">
        <v>112</v>
      </c>
      <c r="AQ3" s="16" t="s">
        <v>112</v>
      </c>
      <c r="AX3" s="16" t="s">
        <v>112</v>
      </c>
      <c r="BB3" s="16" t="s">
        <v>112</v>
      </c>
      <c r="BI3" s="16" t="s">
        <v>112</v>
      </c>
      <c r="BM3" s="16" t="s">
        <v>112</v>
      </c>
      <c r="BT3" s="16" t="s">
        <v>112</v>
      </c>
      <c r="BX3" s="16" t="s">
        <v>112</v>
      </c>
      <c r="CE3" s="16" t="s">
        <v>112</v>
      </c>
      <c r="CI3" s="16" t="s">
        <v>112</v>
      </c>
      <c r="CP3" s="16" t="s">
        <v>112</v>
      </c>
      <c r="CT3" s="16" t="s">
        <v>112</v>
      </c>
    </row>
    <row r="4" spans="1:98">
      <c r="A4" s="29"/>
      <c r="B4" s="29"/>
      <c r="C4" s="29"/>
      <c r="D4" s="29"/>
      <c r="E4" s="29"/>
      <c r="F4" s="29"/>
      <c r="H4" s="24" t="str">
        <f>CONCATENATE(D6,"-",F6)</f>
        <v>2020-2035</v>
      </c>
      <c r="I4" s="29"/>
      <c r="J4" s="29"/>
      <c r="L4" s="29"/>
      <c r="M4" s="29"/>
      <c r="N4" s="29"/>
      <c r="O4" s="29"/>
      <c r="P4" s="29"/>
      <c r="Q4" s="29"/>
      <c r="S4" s="24" t="str">
        <f>H4</f>
        <v>2020-2035</v>
      </c>
      <c r="T4" s="29"/>
      <c r="U4" s="29"/>
      <c r="W4" s="29"/>
      <c r="X4" s="29"/>
      <c r="Y4" s="29"/>
      <c r="Z4" s="29"/>
      <c r="AA4" s="29"/>
      <c r="AB4" s="29"/>
      <c r="AD4" s="24" t="str">
        <f>S4</f>
        <v>2020-2035</v>
      </c>
      <c r="AE4" s="29"/>
      <c r="AF4" s="29"/>
      <c r="AH4" s="29"/>
      <c r="AI4" s="29"/>
      <c r="AJ4" s="29"/>
      <c r="AK4" s="29"/>
      <c r="AL4" s="29"/>
      <c r="AM4" s="29"/>
      <c r="AO4" s="24" t="str">
        <f>AD4</f>
        <v>2020-2035</v>
      </c>
      <c r="AP4" s="29"/>
      <c r="AQ4" s="29"/>
      <c r="AS4" s="29"/>
      <c r="AT4" s="29"/>
      <c r="AU4" s="29"/>
      <c r="AV4" s="29"/>
      <c r="AW4" s="29"/>
      <c r="AX4" s="29"/>
      <c r="AZ4" s="24" t="str">
        <f>AO4</f>
        <v>2020-2035</v>
      </c>
      <c r="BA4" s="29"/>
      <c r="BB4" s="29"/>
      <c r="BD4" s="29"/>
      <c r="BE4" s="29"/>
      <c r="BF4" s="29"/>
      <c r="BG4" s="29"/>
      <c r="BH4" s="29"/>
      <c r="BI4" s="29"/>
      <c r="BK4" s="24" t="str">
        <f>AZ4</f>
        <v>2020-2035</v>
      </c>
      <c r="BL4" s="29"/>
      <c r="BM4" s="29"/>
      <c r="BO4" s="29"/>
      <c r="BP4" s="29"/>
      <c r="BQ4" s="29"/>
      <c r="BR4" s="29"/>
      <c r="BS4" s="29"/>
      <c r="BT4" s="29"/>
      <c r="BV4" s="24" t="str">
        <f>BK4</f>
        <v>2020-2035</v>
      </c>
      <c r="BW4" s="29"/>
      <c r="BX4" s="29"/>
      <c r="BZ4" s="29"/>
      <c r="CA4" s="29"/>
      <c r="CB4" s="29"/>
      <c r="CC4" s="29"/>
      <c r="CD4" s="29"/>
      <c r="CE4" s="29"/>
      <c r="CG4" s="24" t="str">
        <f>BV4</f>
        <v>2020-2035</v>
      </c>
      <c r="CH4" s="29"/>
      <c r="CI4" s="29"/>
      <c r="CK4" s="29"/>
      <c r="CL4" s="29"/>
      <c r="CM4" s="29"/>
      <c r="CN4" s="29"/>
      <c r="CO4" s="29"/>
      <c r="CP4" s="29"/>
      <c r="CR4" s="24" t="str">
        <f>CG4</f>
        <v>2020-2035</v>
      </c>
      <c r="CS4" s="29"/>
      <c r="CT4" s="29"/>
    </row>
    <row r="5" spans="1:98">
      <c r="H5" s="16" t="s">
        <v>115</v>
      </c>
      <c r="I5" s="16" t="s">
        <v>116</v>
      </c>
      <c r="J5" s="16" t="s">
        <v>117</v>
      </c>
      <c r="S5" s="16" t="s">
        <v>115</v>
      </c>
      <c r="T5" s="16" t="s">
        <v>116</v>
      </c>
      <c r="U5" s="16" t="s">
        <v>117</v>
      </c>
      <c r="AD5" s="16" t="s">
        <v>115</v>
      </c>
      <c r="AE5" s="16" t="s">
        <v>116</v>
      </c>
      <c r="AF5" s="16" t="s">
        <v>117</v>
      </c>
      <c r="AO5" s="16" t="s">
        <v>115</v>
      </c>
      <c r="AP5" s="16" t="s">
        <v>116</v>
      </c>
      <c r="AQ5" s="16" t="s">
        <v>117</v>
      </c>
      <c r="AZ5" s="16" t="s">
        <v>115</v>
      </c>
      <c r="BA5" s="16" t="s">
        <v>116</v>
      </c>
      <c r="BB5" s="16" t="s">
        <v>117</v>
      </c>
      <c r="BK5" s="16" t="s">
        <v>115</v>
      </c>
      <c r="BL5" s="16" t="s">
        <v>116</v>
      </c>
      <c r="BM5" s="16" t="s">
        <v>117</v>
      </c>
      <c r="BV5" s="16" t="s">
        <v>115</v>
      </c>
      <c r="BW5" s="16" t="s">
        <v>116</v>
      </c>
      <c r="BX5" s="16" t="s">
        <v>117</v>
      </c>
      <c r="CG5" s="16" t="s">
        <v>115</v>
      </c>
      <c r="CH5" s="16" t="s">
        <v>116</v>
      </c>
      <c r="CI5" s="16" t="s">
        <v>117</v>
      </c>
      <c r="CR5" s="16" t="s">
        <v>115</v>
      </c>
      <c r="CS5" s="16" t="s">
        <v>116</v>
      </c>
      <c r="CT5" s="16" t="s">
        <v>117</v>
      </c>
    </row>
    <row r="6" spans="1:98">
      <c r="A6" s="32" t="s">
        <v>128</v>
      </c>
      <c r="B6" s="28">
        <v>2015</v>
      </c>
      <c r="C6" s="28">
        <v>2019</v>
      </c>
      <c r="D6" s="28">
        <v>2020</v>
      </c>
      <c r="E6" s="28">
        <v>2025</v>
      </c>
      <c r="F6" s="28">
        <v>2035</v>
      </c>
      <c r="H6" s="51" t="s">
        <v>118</v>
      </c>
      <c r="I6" s="51" t="s">
        <v>119</v>
      </c>
      <c r="J6" s="51" t="s">
        <v>120</v>
      </c>
      <c r="L6" s="32" t="s">
        <v>128</v>
      </c>
      <c r="M6" s="28">
        <f>B6</f>
        <v>2015</v>
      </c>
      <c r="N6" s="28">
        <f t="shared" ref="N6:Q6" si="0">C6</f>
        <v>2019</v>
      </c>
      <c r="O6" s="28">
        <f t="shared" si="0"/>
        <v>2020</v>
      </c>
      <c r="P6" s="28">
        <f t="shared" si="0"/>
        <v>2025</v>
      </c>
      <c r="Q6" s="28">
        <f t="shared" si="0"/>
        <v>2035</v>
      </c>
      <c r="S6" s="51" t="s">
        <v>118</v>
      </c>
      <c r="T6" s="51" t="s">
        <v>119</v>
      </c>
      <c r="U6" s="51" t="s">
        <v>120</v>
      </c>
      <c r="W6" s="32" t="s">
        <v>128</v>
      </c>
      <c r="X6" s="28">
        <f>M6</f>
        <v>2015</v>
      </c>
      <c r="Y6" s="28">
        <f t="shared" ref="Y6:AB6" si="1">N6</f>
        <v>2019</v>
      </c>
      <c r="Z6" s="28">
        <f t="shared" si="1"/>
        <v>2020</v>
      </c>
      <c r="AA6" s="28">
        <f t="shared" si="1"/>
        <v>2025</v>
      </c>
      <c r="AB6" s="28">
        <f t="shared" si="1"/>
        <v>2035</v>
      </c>
      <c r="AD6" s="51" t="s">
        <v>118</v>
      </c>
      <c r="AE6" s="51" t="s">
        <v>119</v>
      </c>
      <c r="AF6" s="51" t="s">
        <v>120</v>
      </c>
      <c r="AH6" s="32" t="s">
        <v>128</v>
      </c>
      <c r="AI6" s="28">
        <f>X6</f>
        <v>2015</v>
      </c>
      <c r="AJ6" s="28">
        <f t="shared" ref="AJ6" si="2">Y6</f>
        <v>2019</v>
      </c>
      <c r="AK6" s="28">
        <f t="shared" ref="AK6" si="3">Z6</f>
        <v>2020</v>
      </c>
      <c r="AL6" s="28">
        <f t="shared" ref="AL6" si="4">AA6</f>
        <v>2025</v>
      </c>
      <c r="AM6" s="28">
        <f t="shared" ref="AM6" si="5">AB6</f>
        <v>2035</v>
      </c>
      <c r="AO6" s="51" t="s">
        <v>118</v>
      </c>
      <c r="AP6" s="51" t="s">
        <v>119</v>
      </c>
      <c r="AQ6" s="51" t="s">
        <v>120</v>
      </c>
      <c r="AS6" s="32" t="s">
        <v>128</v>
      </c>
      <c r="AT6" s="28">
        <f>AI6</f>
        <v>2015</v>
      </c>
      <c r="AU6" s="28">
        <f t="shared" ref="AU6" si="6">AJ6</f>
        <v>2019</v>
      </c>
      <c r="AV6" s="28">
        <f t="shared" ref="AV6" si="7">AK6</f>
        <v>2020</v>
      </c>
      <c r="AW6" s="28">
        <f t="shared" ref="AW6" si="8">AL6</f>
        <v>2025</v>
      </c>
      <c r="AX6" s="28">
        <f t="shared" ref="AX6" si="9">AM6</f>
        <v>2035</v>
      </c>
      <c r="AZ6" s="51" t="s">
        <v>118</v>
      </c>
      <c r="BA6" s="51" t="s">
        <v>119</v>
      </c>
      <c r="BB6" s="51" t="s">
        <v>120</v>
      </c>
      <c r="BD6" s="32" t="s">
        <v>128</v>
      </c>
      <c r="BE6" s="28">
        <f>AT6</f>
        <v>2015</v>
      </c>
      <c r="BF6" s="28">
        <f t="shared" ref="BF6" si="10">AU6</f>
        <v>2019</v>
      </c>
      <c r="BG6" s="28">
        <f t="shared" ref="BG6" si="11">AV6</f>
        <v>2020</v>
      </c>
      <c r="BH6" s="28">
        <f t="shared" ref="BH6" si="12">AW6</f>
        <v>2025</v>
      </c>
      <c r="BI6" s="28">
        <f t="shared" ref="BI6" si="13">AX6</f>
        <v>2035</v>
      </c>
      <c r="BK6" s="51" t="s">
        <v>118</v>
      </c>
      <c r="BL6" s="51" t="s">
        <v>119</v>
      </c>
      <c r="BM6" s="51" t="s">
        <v>120</v>
      </c>
      <c r="BO6" s="32" t="s">
        <v>128</v>
      </c>
      <c r="BP6" s="28">
        <f>BE6</f>
        <v>2015</v>
      </c>
      <c r="BQ6" s="28">
        <f t="shared" ref="BQ6" si="14">BF6</f>
        <v>2019</v>
      </c>
      <c r="BR6" s="28">
        <f t="shared" ref="BR6" si="15">BG6</f>
        <v>2020</v>
      </c>
      <c r="BS6" s="28">
        <f t="shared" ref="BS6" si="16">BH6</f>
        <v>2025</v>
      </c>
      <c r="BT6" s="28">
        <f t="shared" ref="BT6" si="17">BI6</f>
        <v>2035</v>
      </c>
      <c r="BV6" s="51" t="s">
        <v>118</v>
      </c>
      <c r="BW6" s="51" t="s">
        <v>119</v>
      </c>
      <c r="BX6" s="51" t="s">
        <v>120</v>
      </c>
      <c r="BZ6" s="32" t="s">
        <v>128</v>
      </c>
      <c r="CA6" s="28">
        <f>BP6</f>
        <v>2015</v>
      </c>
      <c r="CB6" s="28">
        <f t="shared" ref="CB6" si="18">BQ6</f>
        <v>2019</v>
      </c>
      <c r="CC6" s="28">
        <f t="shared" ref="CC6" si="19">BR6</f>
        <v>2020</v>
      </c>
      <c r="CD6" s="28">
        <f t="shared" ref="CD6" si="20">BS6</f>
        <v>2025</v>
      </c>
      <c r="CE6" s="28">
        <f t="shared" ref="CE6" si="21">BT6</f>
        <v>2035</v>
      </c>
      <c r="CG6" s="51" t="s">
        <v>118</v>
      </c>
      <c r="CH6" s="51" t="s">
        <v>119</v>
      </c>
      <c r="CI6" s="51" t="s">
        <v>120</v>
      </c>
      <c r="CK6" s="32" t="s">
        <v>128</v>
      </c>
      <c r="CL6" s="28">
        <f>CA6</f>
        <v>2015</v>
      </c>
      <c r="CM6" s="28">
        <f t="shared" ref="CM6" si="22">CB6</f>
        <v>2019</v>
      </c>
      <c r="CN6" s="28">
        <f t="shared" ref="CN6" si="23">CC6</f>
        <v>2020</v>
      </c>
      <c r="CO6" s="28">
        <f t="shared" ref="CO6" si="24">CD6</f>
        <v>2025</v>
      </c>
      <c r="CP6" s="28">
        <f t="shared" ref="CP6" si="25">CE6</f>
        <v>2035</v>
      </c>
      <c r="CR6" s="51" t="s">
        <v>118</v>
      </c>
      <c r="CS6" s="51" t="s">
        <v>119</v>
      </c>
      <c r="CT6" s="51" t="s">
        <v>120</v>
      </c>
    </row>
    <row r="8" spans="1:98">
      <c r="A8" s="10" t="str">
        <f>name!D4</f>
        <v>11 Corporate managers and directors</v>
      </c>
      <c r="B8" s="55">
        <v>0.32952629992394905</v>
      </c>
      <c r="C8" s="55">
        <v>0.43510609943742701</v>
      </c>
      <c r="D8" s="55">
        <v>0.40248138315331627</v>
      </c>
      <c r="E8" s="55">
        <v>0.46927451532956344</v>
      </c>
      <c r="F8" s="55">
        <v>0.72566654154476073</v>
      </c>
      <c r="G8" s="10"/>
      <c r="H8" s="55">
        <f>F8-D8</f>
        <v>0.32318515839144446</v>
      </c>
      <c r="I8" s="55">
        <f>'RD T1'!E36</f>
        <v>0.27787918007691015</v>
      </c>
      <c r="J8" s="55">
        <f>SUM(H8:I8)</f>
        <v>0.60106433846835461</v>
      </c>
      <c r="L8" t="str">
        <f>A8</f>
        <v>11 Corporate managers and directors</v>
      </c>
      <c r="M8" s="55">
        <v>2.6603163445567062</v>
      </c>
      <c r="N8" s="55">
        <v>3.9405446932787176</v>
      </c>
      <c r="O8" s="55">
        <v>3.8038285278720316</v>
      </c>
      <c r="P8" s="55">
        <v>4.2917913376840016</v>
      </c>
      <c r="Q8" s="55">
        <v>6.3959460319249226</v>
      </c>
      <c r="R8" s="10"/>
      <c r="S8" s="55">
        <f>Q8-O8</f>
        <v>2.592117504052891</v>
      </c>
      <c r="T8" s="55">
        <f>'RD T1'!E65</f>
        <v>2.5219523718987791</v>
      </c>
      <c r="U8" s="55">
        <f>SUM(S8:T8)</f>
        <v>5.1140698759516701</v>
      </c>
      <c r="W8" t="str">
        <f>A8</f>
        <v>11 Corporate managers and directors</v>
      </c>
      <c r="X8" s="55">
        <v>8.0053953834364879</v>
      </c>
      <c r="Y8" s="55">
        <v>8.444445686978348</v>
      </c>
      <c r="Z8" s="55">
        <v>9.0860895159996602</v>
      </c>
      <c r="AA8" s="55">
        <v>8.4405811700246609</v>
      </c>
      <c r="AB8" s="55">
        <v>9.5835726234253187</v>
      </c>
      <c r="AC8" s="55"/>
      <c r="AD8" s="55">
        <f>AB8-Z8</f>
        <v>0.49748310742565849</v>
      </c>
      <c r="AE8" s="55">
        <f>'RD T1'!E94</f>
        <v>5.1696196509464221</v>
      </c>
      <c r="AF8" s="55">
        <f>SUM(AD8:AE8)</f>
        <v>5.6671027583720806</v>
      </c>
      <c r="AH8" t="str">
        <f>L8</f>
        <v>11 Corporate managers and directors</v>
      </c>
      <c r="AI8" s="55">
        <v>1.6119410646429821</v>
      </c>
      <c r="AJ8" s="55">
        <v>1.7216431146204501</v>
      </c>
      <c r="AK8" s="55">
        <v>1.9094439541107</v>
      </c>
      <c r="AL8" s="55">
        <v>1.6990859539036449</v>
      </c>
      <c r="AM8" s="55">
        <v>1.8574307593287285</v>
      </c>
      <c r="AN8" s="55"/>
      <c r="AO8" s="55">
        <f>AM8-AK8</f>
        <v>-5.2013194781971528E-2</v>
      </c>
      <c r="AP8" s="55">
        <f>'RD T1'!E123</f>
        <v>0.94987487233303081</v>
      </c>
      <c r="AQ8" s="55">
        <f>SUM(AO8:AP8)</f>
        <v>0.89786167755105928</v>
      </c>
      <c r="AS8" t="str">
        <f>W8</f>
        <v>11 Corporate managers and directors</v>
      </c>
      <c r="AT8" s="55">
        <v>2.5052896304501844</v>
      </c>
      <c r="AU8" s="55">
        <v>2.4979953086488114</v>
      </c>
      <c r="AV8" s="55">
        <v>2.6572479443795842</v>
      </c>
      <c r="AW8" s="55">
        <v>2.2710891294293147</v>
      </c>
      <c r="AX8" s="55">
        <v>2.4109149599121791</v>
      </c>
      <c r="AY8" s="55"/>
      <c r="AZ8" s="55">
        <f>AX8-AV8</f>
        <v>-0.24633298446740515</v>
      </c>
      <c r="BA8" s="55">
        <f>'RD T1'!E152</f>
        <v>1.2574346204155671</v>
      </c>
      <c r="BB8" s="55">
        <f>SUM(AZ8:BA8)</f>
        <v>1.0111016359481619</v>
      </c>
      <c r="BD8" t="str">
        <f>AH8</f>
        <v>11 Corporate managers and directors</v>
      </c>
      <c r="BE8" s="55">
        <v>5.3003854030503783</v>
      </c>
      <c r="BF8" s="55">
        <v>6.4420865934037481</v>
      </c>
      <c r="BG8" s="55">
        <v>6.6115979009734014</v>
      </c>
      <c r="BH8" s="55">
        <v>5.8982561065238377</v>
      </c>
      <c r="BI8" s="55">
        <v>6.3573571749324245</v>
      </c>
      <c r="BJ8" s="55"/>
      <c r="BK8" s="55">
        <f>BI8-BG8</f>
        <v>-0.25424072604097692</v>
      </c>
      <c r="BL8" s="55">
        <f>'RD T1'!E181</f>
        <v>2.7226179474130774</v>
      </c>
      <c r="BM8" s="55">
        <f>SUM(BK8:BL8)</f>
        <v>2.4683772213721005</v>
      </c>
      <c r="BO8" t="str">
        <f>AS8</f>
        <v>11 Corporate managers and directors</v>
      </c>
      <c r="BP8" s="55">
        <v>4.8570519320931078</v>
      </c>
      <c r="BQ8" s="55">
        <v>5.443444220051993</v>
      </c>
      <c r="BR8" s="55">
        <v>5.086022668189452</v>
      </c>
      <c r="BS8" s="55">
        <v>4.4470267877352407</v>
      </c>
      <c r="BT8" s="55">
        <v>3.8961023255819129</v>
      </c>
      <c r="BU8" s="55"/>
      <c r="BV8" s="55">
        <f>BT8-BR8</f>
        <v>-1.1899203426075391</v>
      </c>
      <c r="BW8" s="55">
        <f>'RD T1'!E210</f>
        <v>2.1026754299904944</v>
      </c>
      <c r="BX8" s="55">
        <f>SUM(BV8:BW8)</f>
        <v>0.9127550873829553</v>
      </c>
      <c r="BZ8" t="str">
        <f>BD8</f>
        <v>11 Corporate managers and directors</v>
      </c>
      <c r="CA8" s="55">
        <v>3.565259753171528</v>
      </c>
      <c r="CB8" s="55">
        <v>3.6786653561979481</v>
      </c>
      <c r="CC8" s="55">
        <v>3.8267385849460345</v>
      </c>
      <c r="CD8" s="55">
        <v>2.9077719089183414</v>
      </c>
      <c r="CE8" s="55">
        <v>2.0777259126382361</v>
      </c>
      <c r="CF8" s="55"/>
      <c r="CG8" s="55">
        <f>CE8-CC8</f>
        <v>-1.7490126723077983</v>
      </c>
      <c r="CH8" s="55">
        <f>'RD T1'!E239</f>
        <v>1.2238474971931859</v>
      </c>
      <c r="CI8" s="55">
        <f>SUM(CG8:CH8)</f>
        <v>-0.52516517511461247</v>
      </c>
      <c r="CK8" t="str">
        <f>BO8</f>
        <v>11 Corporate managers and directors</v>
      </c>
      <c r="CL8" s="55">
        <v>1.0456199895560978</v>
      </c>
      <c r="CM8" s="55">
        <v>1.0668500770303138</v>
      </c>
      <c r="CN8" s="55">
        <v>1.1738990392941775</v>
      </c>
      <c r="CO8" s="55">
        <v>0.74735386175788998</v>
      </c>
      <c r="CP8" s="55">
        <v>0.62025634705124544</v>
      </c>
      <c r="CQ8" s="55"/>
      <c r="CR8" s="55">
        <f>CP8-CN8</f>
        <v>-0.55364269224293206</v>
      </c>
      <c r="CS8" s="55">
        <f>'RD T1'!E268</f>
        <v>0.26406488953692731</v>
      </c>
      <c r="CT8" s="55">
        <f>SUM(CR8:CS8)</f>
        <v>-0.28957780270600475</v>
      </c>
    </row>
    <row r="9" spans="1:98">
      <c r="A9" s="10" t="str">
        <f>name!D5</f>
        <v>12 Other managers and proprietors</v>
      </c>
      <c r="B9" s="55">
        <v>0.11090071235374135</v>
      </c>
      <c r="C9" s="55">
        <v>0.14643252306643267</v>
      </c>
      <c r="D9" s="55">
        <v>0.13066544136148342</v>
      </c>
      <c r="E9" s="55">
        <v>0.17657140471776822</v>
      </c>
      <c r="F9" s="55">
        <v>0.29701842172908133</v>
      </c>
      <c r="H9" s="55">
        <f t="shared" ref="H9:H32" si="26">F9-D9</f>
        <v>0.16635298036759791</v>
      </c>
      <c r="I9" s="55">
        <f>'RD T1'!E37</f>
        <v>0.12582060951872073</v>
      </c>
      <c r="J9" s="55">
        <f t="shared" ref="J9:J32" si="27">SUM(H9:I9)</f>
        <v>0.29217358988631864</v>
      </c>
      <c r="L9" t="str">
        <f t="shared" ref="L9:L32" si="28">A9</f>
        <v>12 Other managers and proprietors</v>
      </c>
      <c r="M9" s="55">
        <v>0.95023764238651298</v>
      </c>
      <c r="N9" s="55">
        <v>1.2821517033710415</v>
      </c>
      <c r="O9" s="55">
        <v>1.3074081049131188</v>
      </c>
      <c r="P9" s="55">
        <v>1.6796081767308624</v>
      </c>
      <c r="Q9" s="55">
        <v>2.7865399387226071</v>
      </c>
      <c r="S9" s="55">
        <f t="shared" ref="S9:S35" si="29">Q9-O9</f>
        <v>1.4791318338094883</v>
      </c>
      <c r="T9" s="55">
        <f>'RD T1'!E66</f>
        <v>1.1578210284877681</v>
      </c>
      <c r="U9" s="55">
        <f t="shared" ref="U9:U32" si="30">SUM(S9:T9)</f>
        <v>2.6369528622972567</v>
      </c>
      <c r="W9" t="str">
        <f t="shared" ref="W9:W32" si="31">A9</f>
        <v>12 Other managers and proprietors</v>
      </c>
      <c r="X9" s="55">
        <v>2.5632033798567835</v>
      </c>
      <c r="Y9" s="55">
        <v>2.4818139210139685</v>
      </c>
      <c r="Z9" s="55">
        <v>2.848200738809759</v>
      </c>
      <c r="AA9" s="55">
        <v>3.052429182291621</v>
      </c>
      <c r="AB9" s="55">
        <v>3.7279925828699461</v>
      </c>
      <c r="AC9" s="55"/>
      <c r="AD9" s="55">
        <f t="shared" ref="AD9:AD32" si="32">AB9-Z9</f>
        <v>0.87979184406018707</v>
      </c>
      <c r="AE9" s="55">
        <f>'RD T1'!E95</f>
        <v>2.1587161270679656</v>
      </c>
      <c r="AF9" s="55">
        <f t="shared" ref="AF9:AF32" si="33">SUM(AD9:AE9)</f>
        <v>3.0385079711281526</v>
      </c>
      <c r="AH9" t="str">
        <f t="shared" ref="AH9:AH32" si="34">L9</f>
        <v>12 Other managers and proprietors</v>
      </c>
      <c r="AI9" s="55">
        <v>0.74066317121287706</v>
      </c>
      <c r="AJ9" s="55">
        <v>0.7192802744769583</v>
      </c>
      <c r="AK9" s="55">
        <v>0.85331775459581505</v>
      </c>
      <c r="AL9" s="55">
        <v>0.83764078993565039</v>
      </c>
      <c r="AM9" s="55">
        <v>1.0168574588571169</v>
      </c>
      <c r="AN9" s="55"/>
      <c r="AO9" s="55">
        <f t="shared" ref="AO9:AO32" si="35">AM9-AK9</f>
        <v>0.16353970426130182</v>
      </c>
      <c r="AP9" s="55">
        <f>'RD T1'!E124</f>
        <v>0.58385732480830577</v>
      </c>
      <c r="AQ9" s="55">
        <f t="shared" ref="AQ9:AQ32" si="36">SUM(AO9:AP9)</f>
        <v>0.74739702906960759</v>
      </c>
      <c r="AS9" t="str">
        <f t="shared" ref="AS9:AS32" si="37">W9</f>
        <v>12 Other managers and proprietors</v>
      </c>
      <c r="AT9" s="55">
        <v>0.87633517457121812</v>
      </c>
      <c r="AU9" s="55">
        <v>0.8288831778350858</v>
      </c>
      <c r="AV9" s="55">
        <v>0.94037846112169443</v>
      </c>
      <c r="AW9" s="55">
        <v>0.99703080131613653</v>
      </c>
      <c r="AX9" s="55">
        <v>1.1648520226712309</v>
      </c>
      <c r="AY9" s="55"/>
      <c r="AZ9" s="55">
        <f t="shared" ref="AZ9:AZ32" si="38">AX9-AV9</f>
        <v>0.22447356154953646</v>
      </c>
      <c r="BA9" s="55">
        <f>'RD T1'!E153</f>
        <v>0.63606430956603832</v>
      </c>
      <c r="BB9" s="55">
        <f t="shared" ref="BB9:BB32" si="39">SUM(AZ9:BA9)</f>
        <v>0.86053787111557478</v>
      </c>
      <c r="BD9" t="str">
        <f t="shared" ref="BD9:BD32" si="40">AH9</f>
        <v>12 Other managers and proprietors</v>
      </c>
      <c r="BE9" s="55">
        <v>2.2466478544764241</v>
      </c>
      <c r="BF9" s="55">
        <v>2.3208351129364355</v>
      </c>
      <c r="BG9" s="55">
        <v>2.2907918513365759</v>
      </c>
      <c r="BH9" s="55">
        <v>2.3104202390834989</v>
      </c>
      <c r="BI9" s="55">
        <v>2.4476089278189153</v>
      </c>
      <c r="BJ9" s="55"/>
      <c r="BK9" s="55">
        <f t="shared" ref="BK9:BK32" si="41">BI9-BG9</f>
        <v>0.15681707648233933</v>
      </c>
      <c r="BL9" s="55">
        <f>'RD T1'!E182</f>
        <v>1.0852522504674289</v>
      </c>
      <c r="BM9" s="55">
        <f t="shared" ref="BM9:BM32" si="42">SUM(BK9:BL9)</f>
        <v>1.2420693269497682</v>
      </c>
      <c r="BO9" t="str">
        <f t="shared" ref="BO9:BO32" si="43">AS9</f>
        <v>12 Other managers and proprietors</v>
      </c>
      <c r="BP9" s="55">
        <v>2.5094494597288515</v>
      </c>
      <c r="BQ9" s="55">
        <v>2.5768022714671015</v>
      </c>
      <c r="BR9" s="55">
        <v>2.5276817401733664</v>
      </c>
      <c r="BS9" s="55">
        <v>2.6566587486519171</v>
      </c>
      <c r="BT9" s="55">
        <v>2.4985238007386519</v>
      </c>
      <c r="BU9" s="55"/>
      <c r="BV9" s="55">
        <f t="shared" ref="BV9:BV32" si="44">BT9-BR9</f>
        <v>-2.9157939434714564E-2</v>
      </c>
      <c r="BW9" s="55">
        <f>'RD T1'!E211</f>
        <v>1.4999047787227111</v>
      </c>
      <c r="BX9" s="55">
        <f t="shared" ref="BX9:BX32" si="45">SUM(BV9:BW9)</f>
        <v>1.4707468392879965</v>
      </c>
      <c r="BZ9" t="str">
        <f t="shared" ref="BZ9:BZ32" si="46">BD9</f>
        <v>12 Other managers and proprietors</v>
      </c>
      <c r="CA9" s="55">
        <v>1.6908695032650667</v>
      </c>
      <c r="CB9" s="55">
        <v>1.588154508314894</v>
      </c>
      <c r="CC9" s="55">
        <v>1.5970832855337915</v>
      </c>
      <c r="CD9" s="55">
        <v>1.4173379638640651</v>
      </c>
      <c r="CE9" s="55">
        <v>1.0066421930107869</v>
      </c>
      <c r="CF9" s="55"/>
      <c r="CG9" s="55">
        <f t="shared" ref="CG9:CG32" si="47">CE9-CC9</f>
        <v>-0.59044109252300458</v>
      </c>
      <c r="CH9" s="55">
        <f>'RD T1'!E240</f>
        <v>0.63545812200606844</v>
      </c>
      <c r="CI9" s="55">
        <f t="shared" ref="CI9:CI32" si="48">SUM(CG9:CH9)</f>
        <v>4.5017029483063853E-2</v>
      </c>
      <c r="CK9" t="str">
        <f t="shared" ref="CK9:CK32" si="49">BO9</f>
        <v>12 Other managers and proprietors</v>
      </c>
      <c r="CL9" s="55">
        <v>0.82362791726746543</v>
      </c>
      <c r="CM9" s="55">
        <v>0.73001336744757195</v>
      </c>
      <c r="CN9" s="55">
        <v>0.7474905956119029</v>
      </c>
      <c r="CO9" s="55">
        <v>0.53689617304528126</v>
      </c>
      <c r="CP9" s="55">
        <v>0.35517126377611108</v>
      </c>
      <c r="CQ9" s="55"/>
      <c r="CR9" s="55">
        <f t="shared" ref="CR9:CR32" si="50">CP9-CN9</f>
        <v>-0.39231933183579182</v>
      </c>
      <c r="CS9" s="55">
        <f>'RD T1'!E269</f>
        <v>0.18836469138738829</v>
      </c>
      <c r="CT9" s="55">
        <f t="shared" ref="CT9:CT32" si="51">SUM(CR9:CS9)</f>
        <v>-0.20395464044840353</v>
      </c>
    </row>
    <row r="10" spans="1:98">
      <c r="A10" s="10" t="str">
        <f>name!D6</f>
        <v>21 Science, research, engineering and technology professionals</v>
      </c>
      <c r="B10" s="55">
        <v>1.0399451750158979</v>
      </c>
      <c r="C10" s="55">
        <v>1.3628446896094981</v>
      </c>
      <c r="D10" s="55">
        <v>1.2276512560906556</v>
      </c>
      <c r="E10" s="55">
        <v>1.7684948528482027</v>
      </c>
      <c r="F10" s="55">
        <v>2.5621667941035926</v>
      </c>
      <c r="G10" s="11"/>
      <c r="H10" s="55">
        <f t="shared" si="26"/>
        <v>1.334515538012937</v>
      </c>
      <c r="I10" s="55">
        <f>'RD T1'!E38</f>
        <v>0.71304965448868407</v>
      </c>
      <c r="J10" s="55">
        <f t="shared" si="27"/>
        <v>2.0475651925016209</v>
      </c>
      <c r="L10" t="str">
        <f t="shared" si="28"/>
        <v>21 Science, research, engineering and technology professionals</v>
      </c>
      <c r="M10" s="55">
        <v>3.5047539909738039</v>
      </c>
      <c r="N10" s="55">
        <v>4.7238752386180289</v>
      </c>
      <c r="O10" s="55">
        <v>4.4636264902997853</v>
      </c>
      <c r="P10" s="55">
        <v>6.7480817572599934</v>
      </c>
      <c r="Q10" s="55">
        <v>9.9240874227107234</v>
      </c>
      <c r="R10" s="11"/>
      <c r="S10" s="55">
        <f t="shared" si="29"/>
        <v>5.4604609324109381</v>
      </c>
      <c r="T10" s="55">
        <f>'RD T1'!E67</f>
        <v>2.8848472507252017</v>
      </c>
      <c r="U10" s="55">
        <f t="shared" si="30"/>
        <v>8.3453081831361402</v>
      </c>
      <c r="W10" t="str">
        <f t="shared" si="31"/>
        <v>21 Science, research, engineering and technology professionals</v>
      </c>
      <c r="X10" s="55">
        <v>7.9581804236608704</v>
      </c>
      <c r="Y10" s="55">
        <v>7.5621441795730631</v>
      </c>
      <c r="Z10" s="55">
        <v>8.276537217990823</v>
      </c>
      <c r="AA10" s="55">
        <v>9.6325045417269308</v>
      </c>
      <c r="AB10" s="55">
        <v>10.303929765786842</v>
      </c>
      <c r="AC10" s="55"/>
      <c r="AD10" s="55">
        <f t="shared" si="32"/>
        <v>2.0273925477960191</v>
      </c>
      <c r="AE10" s="55">
        <f>'RD T1'!E96</f>
        <v>3.852796819771847</v>
      </c>
      <c r="AF10" s="55">
        <f t="shared" si="33"/>
        <v>5.8801893675678656</v>
      </c>
      <c r="AH10" t="str">
        <f t="shared" si="34"/>
        <v>21 Science, research, engineering and technology professionals</v>
      </c>
      <c r="AI10" s="55">
        <v>0.88439478892663603</v>
      </c>
      <c r="AJ10" s="55">
        <v>0.80511886590287995</v>
      </c>
      <c r="AK10" s="55">
        <v>0.91795069522373196</v>
      </c>
      <c r="AL10" s="55">
        <v>1.0406863922797958</v>
      </c>
      <c r="AM10" s="55">
        <v>1.125634376725285</v>
      </c>
      <c r="AN10" s="55"/>
      <c r="AO10" s="55">
        <f t="shared" si="35"/>
        <v>0.20768368150155303</v>
      </c>
      <c r="AP10" s="55">
        <f>'RD T1'!E125</f>
        <v>0.40705455461583162</v>
      </c>
      <c r="AQ10" s="55">
        <f t="shared" si="36"/>
        <v>0.61473823611738465</v>
      </c>
      <c r="AS10" t="str">
        <f t="shared" si="37"/>
        <v>21 Science, research, engineering and technology professionals</v>
      </c>
      <c r="AT10" s="55">
        <v>2.538601942936479</v>
      </c>
      <c r="AU10" s="55">
        <v>2.3790033575668219</v>
      </c>
      <c r="AV10" s="55">
        <v>2.5907172598473176</v>
      </c>
      <c r="AW10" s="55">
        <v>2.7719604892288929</v>
      </c>
      <c r="AX10" s="55">
        <v>2.7657882842073427</v>
      </c>
      <c r="AY10" s="55"/>
      <c r="AZ10" s="55">
        <f t="shared" si="38"/>
        <v>0.17507102436002508</v>
      </c>
      <c r="BA10" s="55">
        <f>'RD T1'!E154</f>
        <v>0.96863590356318841</v>
      </c>
      <c r="BB10" s="55">
        <f t="shared" si="39"/>
        <v>1.1437069279232135</v>
      </c>
      <c r="BD10" t="str">
        <f t="shared" si="40"/>
        <v>21 Science, research, engineering and technology professionals</v>
      </c>
      <c r="BE10" s="55">
        <v>3.3115592108585132</v>
      </c>
      <c r="BF10" s="55">
        <v>3.8605079980293602</v>
      </c>
      <c r="BG10" s="55">
        <v>4.1254865509646281</v>
      </c>
      <c r="BH10" s="55">
        <v>4.8115774768909736</v>
      </c>
      <c r="BI10" s="55">
        <v>5.1015064905764831</v>
      </c>
      <c r="BJ10" s="55"/>
      <c r="BK10" s="55">
        <f t="shared" si="41"/>
        <v>0.97601993961185496</v>
      </c>
      <c r="BL10" s="55">
        <f>'RD T1'!E183</f>
        <v>1.4564788465396696</v>
      </c>
      <c r="BM10" s="55">
        <f t="shared" si="42"/>
        <v>2.4324987861515246</v>
      </c>
      <c r="BO10" t="str">
        <f t="shared" si="43"/>
        <v>21 Science, research, engineering and technology professionals</v>
      </c>
      <c r="BP10" s="55">
        <v>2.4923559423354007</v>
      </c>
      <c r="BQ10" s="55">
        <v>2.7989036590314607</v>
      </c>
      <c r="BR10" s="55">
        <v>2.8180475615815084</v>
      </c>
      <c r="BS10" s="55">
        <v>3.3387324775296325</v>
      </c>
      <c r="BT10" s="55">
        <v>3.0553176144291125</v>
      </c>
      <c r="BU10" s="55"/>
      <c r="BV10" s="55">
        <f t="shared" si="44"/>
        <v>0.23727005284760416</v>
      </c>
      <c r="BW10" s="55">
        <f>'RD T1'!E212</f>
        <v>1.1087166102005974</v>
      </c>
      <c r="BX10" s="55">
        <f t="shared" si="45"/>
        <v>1.3459866630482016</v>
      </c>
      <c r="BZ10" t="str">
        <f t="shared" si="46"/>
        <v>21 Science, research, engineering and technology professionals</v>
      </c>
      <c r="CA10" s="55">
        <v>1.4795117370381798</v>
      </c>
      <c r="CB10" s="55">
        <v>1.5103047799988512</v>
      </c>
      <c r="CC10" s="55">
        <v>1.6516234571213404</v>
      </c>
      <c r="CD10" s="55">
        <v>1.6813839711680147</v>
      </c>
      <c r="CE10" s="55">
        <v>1.1827218188772295</v>
      </c>
      <c r="CF10" s="55"/>
      <c r="CG10" s="55">
        <f t="shared" si="47"/>
        <v>-0.46890163824411091</v>
      </c>
      <c r="CH10" s="55">
        <f>'RD T1'!E241</f>
        <v>0.47512736082562962</v>
      </c>
      <c r="CI10" s="55">
        <f t="shared" si="48"/>
        <v>6.2257225815187112E-3</v>
      </c>
      <c r="CK10" t="str">
        <f t="shared" si="49"/>
        <v>21 Science, research, engineering and technology professionals</v>
      </c>
      <c r="CL10" s="55">
        <v>0.48326410229176658</v>
      </c>
      <c r="CM10" s="55">
        <v>0.51973970087880472</v>
      </c>
      <c r="CN10" s="55">
        <v>0.60251175061506246</v>
      </c>
      <c r="CO10" s="55">
        <v>0.53793065766101023</v>
      </c>
      <c r="CP10" s="55">
        <v>0.43899532083362797</v>
      </c>
      <c r="CQ10" s="55"/>
      <c r="CR10" s="55">
        <f t="shared" si="50"/>
        <v>-0.16351642978143449</v>
      </c>
      <c r="CS10" s="55">
        <f>'RD T1'!E270</f>
        <v>0.16200144566850666</v>
      </c>
      <c r="CT10" s="55">
        <f t="shared" si="51"/>
        <v>-1.5149841129278308E-3</v>
      </c>
    </row>
    <row r="11" spans="1:98">
      <c r="A11" s="10" t="str">
        <f>name!D7</f>
        <v>22 Health professionals</v>
      </c>
      <c r="B11" s="55">
        <v>1.018402140876975</v>
      </c>
      <c r="C11" s="55">
        <v>1.7658274516087258</v>
      </c>
      <c r="D11" s="55">
        <v>1.7196263864843719</v>
      </c>
      <c r="E11" s="55">
        <v>2.2663984028119866</v>
      </c>
      <c r="F11" s="55">
        <v>3.387145550907722</v>
      </c>
      <c r="G11" s="11"/>
      <c r="H11" s="55">
        <f t="shared" si="26"/>
        <v>1.66751916442335</v>
      </c>
      <c r="I11" s="55">
        <f>'RD T1'!E39</f>
        <v>1.2203614097568625</v>
      </c>
      <c r="J11" s="55">
        <f t="shared" si="27"/>
        <v>2.8878805741802127</v>
      </c>
      <c r="L11" t="str">
        <f t="shared" si="28"/>
        <v>22 Health professionals</v>
      </c>
      <c r="M11" s="55">
        <v>3.0769924448177548</v>
      </c>
      <c r="N11" s="55">
        <v>5.2907635274904772</v>
      </c>
      <c r="O11" s="55">
        <v>5.2342624554481567</v>
      </c>
      <c r="P11" s="55">
        <v>6.2446920750439174</v>
      </c>
      <c r="Q11" s="55">
        <v>8.9149275044580865</v>
      </c>
      <c r="R11" s="11"/>
      <c r="S11" s="55">
        <f t="shared" si="29"/>
        <v>3.6806650490099297</v>
      </c>
      <c r="T11" s="55">
        <f>'RD T1'!E68</f>
        <v>3.4989922613421278</v>
      </c>
      <c r="U11" s="55">
        <f t="shared" si="30"/>
        <v>7.1796573103520576</v>
      </c>
      <c r="W11" t="str">
        <f t="shared" si="31"/>
        <v>22 Health professionals</v>
      </c>
      <c r="X11" s="55">
        <v>7.7174327006498871</v>
      </c>
      <c r="Y11" s="55">
        <v>9.279941670560536</v>
      </c>
      <c r="Z11" s="55">
        <v>9.8464871956844053</v>
      </c>
      <c r="AA11" s="55">
        <v>9.7122099390609442</v>
      </c>
      <c r="AB11" s="55">
        <v>10.035156209651593</v>
      </c>
      <c r="AC11" s="55"/>
      <c r="AD11" s="55">
        <f t="shared" si="32"/>
        <v>0.18866901396718738</v>
      </c>
      <c r="AE11" s="55">
        <f>'RD T1'!E97</f>
        <v>5.7386606584578592</v>
      </c>
      <c r="AF11" s="55">
        <f t="shared" si="33"/>
        <v>5.9273296724250466</v>
      </c>
      <c r="AH11" t="str">
        <f t="shared" si="34"/>
        <v>22 Health professionals</v>
      </c>
      <c r="AI11" s="55">
        <v>4.0768489710853792</v>
      </c>
      <c r="AJ11" s="55">
        <v>3.4559533034185357</v>
      </c>
      <c r="AK11" s="55">
        <v>3.3799516135765466</v>
      </c>
      <c r="AL11" s="55">
        <v>1.7925154134250971</v>
      </c>
      <c r="AM11" s="55">
        <v>0.65737753387126818</v>
      </c>
      <c r="AN11" s="55"/>
      <c r="AO11" s="55">
        <f t="shared" si="35"/>
        <v>-2.7225740797052786</v>
      </c>
      <c r="AP11" s="55">
        <f>'RD T1'!E126</f>
        <v>0.61091256457997767</v>
      </c>
      <c r="AQ11" s="55">
        <f t="shared" si="36"/>
        <v>-2.1116615151253009</v>
      </c>
      <c r="AS11" t="str">
        <f t="shared" si="37"/>
        <v>22 Health professionals</v>
      </c>
      <c r="AT11" s="55">
        <v>0.50120250855413317</v>
      </c>
      <c r="AU11" s="55">
        <v>0.55932406312204952</v>
      </c>
      <c r="AV11" s="55">
        <v>0.63783575488146127</v>
      </c>
      <c r="AW11" s="55">
        <v>0.63604110989084206</v>
      </c>
      <c r="AX11" s="55">
        <v>0.67897257245988762</v>
      </c>
      <c r="AY11" s="55"/>
      <c r="AZ11" s="55">
        <f t="shared" si="38"/>
        <v>4.1136817578426355E-2</v>
      </c>
      <c r="BA11" s="55">
        <f>'RD T1'!E155</f>
        <v>0.33299233549072688</v>
      </c>
      <c r="BB11" s="55">
        <f t="shared" si="39"/>
        <v>0.37412915306915323</v>
      </c>
      <c r="BD11" t="str">
        <f t="shared" si="40"/>
        <v>22 Health professionals</v>
      </c>
      <c r="BE11" s="55">
        <v>2.1716832216071844</v>
      </c>
      <c r="BF11" s="55">
        <v>3.0624273811279439</v>
      </c>
      <c r="BG11" s="55">
        <v>2.8003145404171743</v>
      </c>
      <c r="BH11" s="55">
        <v>2.8946259613379555</v>
      </c>
      <c r="BI11" s="55">
        <v>2.7258105429585204</v>
      </c>
      <c r="BJ11" s="55"/>
      <c r="BK11" s="55">
        <f t="shared" si="41"/>
        <v>-7.4503997458653881E-2</v>
      </c>
      <c r="BL11" s="55">
        <f>'RD T1'!E184</f>
        <v>1.5922746650213426</v>
      </c>
      <c r="BM11" s="55">
        <f t="shared" si="42"/>
        <v>1.5177706675626887</v>
      </c>
      <c r="BO11" t="str">
        <f t="shared" si="43"/>
        <v>22 Health professionals</v>
      </c>
      <c r="BP11" s="55">
        <v>1.898005136357396</v>
      </c>
      <c r="BQ11" s="55">
        <v>2.4208164080558601</v>
      </c>
      <c r="BR11" s="55">
        <v>2.0151374752681206</v>
      </c>
      <c r="BS11" s="55">
        <v>2.0362488819044962</v>
      </c>
      <c r="BT11" s="55">
        <v>1.6427525060377486</v>
      </c>
      <c r="BU11" s="55"/>
      <c r="BV11" s="55">
        <f t="shared" si="44"/>
        <v>-0.37238496923037201</v>
      </c>
      <c r="BW11" s="55">
        <f>'RD T1'!E213</f>
        <v>1.0060912578450756</v>
      </c>
      <c r="BX11" s="55">
        <f t="shared" si="45"/>
        <v>0.63370628861470357</v>
      </c>
      <c r="BZ11" t="str">
        <f t="shared" si="46"/>
        <v>22 Health professionals</v>
      </c>
      <c r="CA11" s="55">
        <v>1.0023143616318735</v>
      </c>
      <c r="CB11" s="55">
        <v>1.2364397158061087</v>
      </c>
      <c r="CC11" s="55">
        <v>0.94105442914912718</v>
      </c>
      <c r="CD11" s="55">
        <v>0.76272884704153965</v>
      </c>
      <c r="CE11" s="55">
        <v>0.36921842386232456</v>
      </c>
      <c r="CF11" s="55"/>
      <c r="CG11" s="55">
        <f t="shared" si="47"/>
        <v>-0.57183600528680256</v>
      </c>
      <c r="CH11" s="55">
        <f>'RD T1'!E242</f>
        <v>0.27858413807372562</v>
      </c>
      <c r="CI11" s="55">
        <f t="shared" si="48"/>
        <v>-0.29325186721307694</v>
      </c>
      <c r="CK11" t="str">
        <f t="shared" si="49"/>
        <v>22 Health professionals</v>
      </c>
      <c r="CL11" s="55">
        <v>0.21189042031160626</v>
      </c>
      <c r="CM11" s="55">
        <v>0.24430914200521439</v>
      </c>
      <c r="CN11" s="55">
        <v>0.31063394520542525</v>
      </c>
      <c r="CO11" s="55">
        <v>0.1986737861369347</v>
      </c>
      <c r="CP11" s="55">
        <v>0.16826221970663285</v>
      </c>
      <c r="CQ11" s="55"/>
      <c r="CR11" s="55">
        <f t="shared" si="50"/>
        <v>-0.1423717254987924</v>
      </c>
      <c r="CS11" s="55">
        <f>'RD T1'!E271</f>
        <v>8.7665390222186015E-2</v>
      </c>
      <c r="CT11" s="55">
        <f t="shared" si="51"/>
        <v>-5.4706335276606385E-2</v>
      </c>
    </row>
    <row r="12" spans="1:98">
      <c r="A12" s="10" t="str">
        <f>name!D8</f>
        <v>23 Teaching and other educational professionals</v>
      </c>
      <c r="B12" s="55">
        <v>1.5125209876939776</v>
      </c>
      <c r="C12" s="55">
        <v>1.9013350259674571</v>
      </c>
      <c r="D12" s="55">
        <v>1.9642150179303035</v>
      </c>
      <c r="E12" s="55">
        <v>2.2597105213869582</v>
      </c>
      <c r="F12" s="55">
        <v>2.8432379603695352</v>
      </c>
      <c r="G12" s="11"/>
      <c r="H12" s="55">
        <f t="shared" si="26"/>
        <v>0.87902294243923174</v>
      </c>
      <c r="I12" s="55">
        <f>'RD T1'!E40</f>
        <v>1.1871877380213252</v>
      </c>
      <c r="J12" s="55">
        <f t="shared" si="27"/>
        <v>2.0662106804605571</v>
      </c>
      <c r="L12" t="str">
        <f t="shared" si="28"/>
        <v>23 Teaching and other educational professionals</v>
      </c>
      <c r="M12" s="55">
        <v>8.3803277668002973</v>
      </c>
      <c r="N12" s="55">
        <v>10.99682564383167</v>
      </c>
      <c r="O12" s="55">
        <v>11.493151663559454</v>
      </c>
      <c r="P12" s="55">
        <v>13.042514764905965</v>
      </c>
      <c r="Q12" s="55">
        <v>16.306497208346084</v>
      </c>
      <c r="R12" s="11"/>
      <c r="S12" s="55">
        <f t="shared" si="29"/>
        <v>4.81334554478663</v>
      </c>
      <c r="T12" s="55">
        <f>'RD T1'!E69</f>
        <v>7.0697115829280497</v>
      </c>
      <c r="U12" s="55">
        <f t="shared" si="30"/>
        <v>11.883057127714679</v>
      </c>
      <c r="W12" t="str">
        <f t="shared" si="31"/>
        <v>23 Teaching and other educational professionals</v>
      </c>
      <c r="X12" s="55">
        <v>6.3417129448135068</v>
      </c>
      <c r="Y12" s="55">
        <v>5.0495804064839387</v>
      </c>
      <c r="Z12" s="55">
        <v>5.6772645357811591</v>
      </c>
      <c r="AA12" s="55">
        <v>4.3563679462077616</v>
      </c>
      <c r="AB12" s="55">
        <v>3.0729351363328146</v>
      </c>
      <c r="AC12" s="55"/>
      <c r="AD12" s="55">
        <f t="shared" si="32"/>
        <v>-2.6043293994483445</v>
      </c>
      <c r="AE12" s="55">
        <f>'RD T1'!E98</f>
        <v>2.2063621188750591</v>
      </c>
      <c r="AF12" s="55">
        <f t="shared" si="33"/>
        <v>-0.39796728057328545</v>
      </c>
      <c r="AH12" t="str">
        <f t="shared" si="34"/>
        <v>23 Teaching and other educational professionals</v>
      </c>
      <c r="AI12" s="55">
        <v>0.88752835298294108</v>
      </c>
      <c r="AJ12" s="55">
        <v>0.43284948392922279</v>
      </c>
      <c r="AK12" s="55">
        <v>0.42480829054441882</v>
      </c>
      <c r="AL12" s="55">
        <v>0.22072507688264806</v>
      </c>
      <c r="AM12" s="55">
        <v>0.21796390815271635</v>
      </c>
      <c r="AN12" s="55"/>
      <c r="AO12" s="55">
        <f t="shared" si="35"/>
        <v>-0.20684438239170247</v>
      </c>
      <c r="AP12" s="55">
        <f>'RD T1'!E127</f>
        <v>7.0312866520571296E-2</v>
      </c>
      <c r="AQ12" s="55">
        <f t="shared" si="36"/>
        <v>-0.13653151587113116</v>
      </c>
      <c r="AS12" t="str">
        <f t="shared" si="37"/>
        <v>23 Teaching and other educational professionals</v>
      </c>
      <c r="AT12" s="55">
        <v>0.21357954908766938</v>
      </c>
      <c r="AU12" s="55">
        <v>0.16849533640089981</v>
      </c>
      <c r="AV12" s="55">
        <v>0.19372067322514883</v>
      </c>
      <c r="AW12" s="55">
        <v>0.14428702324837236</v>
      </c>
      <c r="AX12" s="55">
        <v>0.11557979834342831</v>
      </c>
      <c r="AY12" s="55"/>
      <c r="AZ12" s="55">
        <f t="shared" si="38"/>
        <v>-7.8140874881720515E-2</v>
      </c>
      <c r="BA12" s="55">
        <f>'RD T1'!E156</f>
        <v>6.8080610305129241E-2</v>
      </c>
      <c r="BB12" s="55">
        <f t="shared" si="39"/>
        <v>-1.0060264576591274E-2</v>
      </c>
      <c r="BD12" t="str">
        <f t="shared" si="40"/>
        <v>23 Teaching and other educational professionals</v>
      </c>
      <c r="BE12" s="55">
        <v>0.80299403888137166</v>
      </c>
      <c r="BF12" s="55">
        <v>0.82392083007677042</v>
      </c>
      <c r="BG12" s="55">
        <v>0.89400952067018624</v>
      </c>
      <c r="BH12" s="55">
        <v>0.80652383282764428</v>
      </c>
      <c r="BI12" s="55">
        <v>0.81146323820016131</v>
      </c>
      <c r="BJ12" s="55"/>
      <c r="BK12" s="55">
        <f t="shared" si="41"/>
        <v>-8.2546282470024934E-2</v>
      </c>
      <c r="BL12" s="55">
        <f>'RD T1'!E185</f>
        <v>0.35864327857051337</v>
      </c>
      <c r="BM12" s="55">
        <f t="shared" si="42"/>
        <v>0.27609699610048843</v>
      </c>
      <c r="BO12" t="str">
        <f t="shared" si="43"/>
        <v>23 Teaching and other educational professionals</v>
      </c>
      <c r="BP12" s="55">
        <v>0.77565629236151434</v>
      </c>
      <c r="BQ12" s="55">
        <v>0.77337348192975308</v>
      </c>
      <c r="BR12" s="55">
        <v>0.69805215083667727</v>
      </c>
      <c r="BS12" s="55">
        <v>0.62479326006285252</v>
      </c>
      <c r="BT12" s="55">
        <v>0.47229824367642792</v>
      </c>
      <c r="BU12" s="55"/>
      <c r="BV12" s="55">
        <f t="shared" si="44"/>
        <v>-0.22575390716024935</v>
      </c>
      <c r="BW12" s="55">
        <f>'RD T1'!E214</f>
        <v>0.30339685185447846</v>
      </c>
      <c r="BX12" s="55">
        <f t="shared" si="45"/>
        <v>7.764294469422911E-2</v>
      </c>
      <c r="BZ12" t="str">
        <f t="shared" si="46"/>
        <v>23 Teaching and other educational professionals</v>
      </c>
      <c r="CA12" s="55">
        <v>0.4816390584280022</v>
      </c>
      <c r="CB12" s="55">
        <v>0.46659877816221279</v>
      </c>
      <c r="CC12" s="55">
        <v>0.46992987241060635</v>
      </c>
      <c r="CD12" s="55">
        <v>0.36981371258911017</v>
      </c>
      <c r="CE12" s="55">
        <v>0.20869908767294418</v>
      </c>
      <c r="CF12" s="55"/>
      <c r="CG12" s="55">
        <f t="shared" si="47"/>
        <v>-0.26123078473766215</v>
      </c>
      <c r="CH12" s="55">
        <f>'RD T1'!E243</f>
        <v>0.15309355615031695</v>
      </c>
      <c r="CI12" s="55">
        <f t="shared" si="48"/>
        <v>-0.1081372285873452</v>
      </c>
      <c r="CK12" t="str">
        <f t="shared" si="49"/>
        <v>23 Teaching and other educational professionals</v>
      </c>
      <c r="CL12" s="55">
        <v>0.14441577462198349</v>
      </c>
      <c r="CM12" s="55">
        <v>0.15261886837862526</v>
      </c>
      <c r="CN12" s="55">
        <v>0.21146611855062372</v>
      </c>
      <c r="CO12" s="55">
        <v>0.14495648010504464</v>
      </c>
      <c r="CP12" s="55">
        <v>0.1166817075868013</v>
      </c>
      <c r="CQ12" s="55"/>
      <c r="CR12" s="55">
        <f t="shared" si="50"/>
        <v>-9.4784410963822424E-2</v>
      </c>
      <c r="CS12" s="55">
        <f>'RD T1'!E272</f>
        <v>6.3443833399459332E-2</v>
      </c>
      <c r="CT12" s="55">
        <f t="shared" si="51"/>
        <v>-3.1340577564363092E-2</v>
      </c>
    </row>
    <row r="13" spans="1:98">
      <c r="A13" s="10" t="str">
        <f>name!D9</f>
        <v>24 Business, media and public service professionals</v>
      </c>
      <c r="B13" s="55">
        <v>0.32506971877894808</v>
      </c>
      <c r="C13" s="55">
        <v>0.45288798223190901</v>
      </c>
      <c r="D13" s="55">
        <v>0.45998809827771037</v>
      </c>
      <c r="E13" s="55">
        <v>0.60264871341769399</v>
      </c>
      <c r="F13" s="55">
        <v>0.93057591677832696</v>
      </c>
      <c r="G13" s="11"/>
      <c r="H13" s="55">
        <f t="shared" si="26"/>
        <v>0.47058781850061659</v>
      </c>
      <c r="I13" s="55">
        <f>'RD T1'!E41</f>
        <v>0.32878283549965354</v>
      </c>
      <c r="J13" s="55">
        <f t="shared" si="27"/>
        <v>0.79937065400027008</v>
      </c>
      <c r="L13" t="str">
        <f t="shared" si="28"/>
        <v>24 Business, media and public service professionals</v>
      </c>
      <c r="M13" s="55">
        <v>3.8956482536978791</v>
      </c>
      <c r="N13" s="55">
        <v>5.6663368496490465</v>
      </c>
      <c r="O13" s="55">
        <v>5.6927563758033912</v>
      </c>
      <c r="P13" s="55">
        <v>7.0010630193320775</v>
      </c>
      <c r="Q13" s="55">
        <v>9.7428518165328644</v>
      </c>
      <c r="R13" s="11"/>
      <c r="S13" s="55">
        <f t="shared" si="29"/>
        <v>4.0500954407294731</v>
      </c>
      <c r="T13" s="55">
        <f>'RD T1'!E70</f>
        <v>3.6739588856164538</v>
      </c>
      <c r="U13" s="55">
        <f t="shared" si="30"/>
        <v>7.7240543263459269</v>
      </c>
      <c r="W13" t="str">
        <f t="shared" si="31"/>
        <v>24 Business, media and public service professionals</v>
      </c>
      <c r="X13" s="55">
        <v>8.4214880317833831</v>
      </c>
      <c r="Y13" s="55">
        <v>8.3713612802347228</v>
      </c>
      <c r="Z13" s="55">
        <v>9.8587477725490071</v>
      </c>
      <c r="AA13" s="55">
        <v>9.9291845955471629</v>
      </c>
      <c r="AB13" s="55">
        <v>10.730432423491665</v>
      </c>
      <c r="AC13" s="55"/>
      <c r="AD13" s="55">
        <f t="shared" si="32"/>
        <v>0.87168465094265812</v>
      </c>
      <c r="AE13" s="55">
        <f>'RD T1'!E99</f>
        <v>5.3382763992341946</v>
      </c>
      <c r="AF13" s="55">
        <f t="shared" si="33"/>
        <v>6.2099610501768527</v>
      </c>
      <c r="AH13" t="str">
        <f t="shared" si="34"/>
        <v>24 Business, media and public service professionals</v>
      </c>
      <c r="AI13" s="55">
        <v>1.0140540762620114</v>
      </c>
      <c r="AJ13" s="55">
        <v>0.9194892418839129</v>
      </c>
      <c r="AK13" s="55">
        <v>1.0978875781247195</v>
      </c>
      <c r="AL13" s="55">
        <v>0.97658285812535384</v>
      </c>
      <c r="AM13" s="55">
        <v>0.99700495935848099</v>
      </c>
      <c r="AN13" s="55"/>
      <c r="AO13" s="55">
        <f t="shared" si="35"/>
        <v>-0.1008826187662385</v>
      </c>
      <c r="AP13" s="55">
        <f>'RD T1'!E128</f>
        <v>0.38047994301523835</v>
      </c>
      <c r="AQ13" s="55">
        <f t="shared" si="36"/>
        <v>0.27959732424899986</v>
      </c>
      <c r="AS13" t="str">
        <f t="shared" si="37"/>
        <v>24 Business, media and public service professionals</v>
      </c>
      <c r="AT13" s="55">
        <v>1.4601368543394182</v>
      </c>
      <c r="AU13" s="55">
        <v>1.3824948101097689</v>
      </c>
      <c r="AV13" s="55">
        <v>1.6282969546287989</v>
      </c>
      <c r="AW13" s="55">
        <v>1.6166397098963863</v>
      </c>
      <c r="AX13" s="55">
        <v>1.7441712258328581</v>
      </c>
      <c r="AY13" s="55"/>
      <c r="AZ13" s="55">
        <f t="shared" si="38"/>
        <v>0.11587427120405924</v>
      </c>
      <c r="BA13" s="55">
        <f>'RD T1'!E157</f>
        <v>0.80430112580710522</v>
      </c>
      <c r="BB13" s="55">
        <f t="shared" si="39"/>
        <v>0.92017539701116446</v>
      </c>
      <c r="BD13" t="str">
        <f t="shared" si="40"/>
        <v>24 Business, media and public service professionals</v>
      </c>
      <c r="BE13" s="55">
        <v>3.1344464220730441</v>
      </c>
      <c r="BF13" s="55">
        <v>3.8240817766528687</v>
      </c>
      <c r="BG13" s="55">
        <v>4.223624013509955</v>
      </c>
      <c r="BH13" s="55">
        <v>4.4686729436196391</v>
      </c>
      <c r="BI13" s="55">
        <v>4.8838888162614378</v>
      </c>
      <c r="BJ13" s="55"/>
      <c r="BK13" s="55">
        <f t="shared" si="41"/>
        <v>0.6602648027514828</v>
      </c>
      <c r="BL13" s="55">
        <f>'RD T1'!E186</f>
        <v>1.9381353029131472</v>
      </c>
      <c r="BM13" s="55">
        <f t="shared" si="42"/>
        <v>2.5984001056646298</v>
      </c>
      <c r="BO13" t="str">
        <f t="shared" si="43"/>
        <v>24 Business, media and public service professionals</v>
      </c>
      <c r="BP13" s="55">
        <v>2.4949589713625349</v>
      </c>
      <c r="BQ13" s="55">
        <v>2.7088780164430548</v>
      </c>
      <c r="BR13" s="55">
        <v>2.6606576837141809</v>
      </c>
      <c r="BS13" s="55">
        <v>2.623096094444699</v>
      </c>
      <c r="BT13" s="55">
        <v>2.2500432609159566</v>
      </c>
      <c r="BU13" s="55"/>
      <c r="BV13" s="55">
        <f t="shared" si="44"/>
        <v>-0.41061442279822424</v>
      </c>
      <c r="BW13" s="55">
        <f>'RD T1'!E215</f>
        <v>1.0894103518556166</v>
      </c>
      <c r="BX13" s="55">
        <f t="shared" si="45"/>
        <v>0.67879592905739239</v>
      </c>
      <c r="BZ13" t="str">
        <f t="shared" si="46"/>
        <v>24 Business, media and public service professionals</v>
      </c>
      <c r="CA13" s="55">
        <v>1.541687679895041</v>
      </c>
      <c r="CB13" s="55">
        <v>1.5997166785326276</v>
      </c>
      <c r="CC13" s="55">
        <v>1.6898354082843994</v>
      </c>
      <c r="CD13" s="55">
        <v>1.4360870362227718</v>
      </c>
      <c r="CE13" s="55">
        <v>0.90379682353137303</v>
      </c>
      <c r="CF13" s="55"/>
      <c r="CG13" s="55">
        <f t="shared" si="47"/>
        <v>-0.78603858475302635</v>
      </c>
      <c r="CH13" s="55">
        <f>'RD T1'!E244</f>
        <v>0.50690463496498017</v>
      </c>
      <c r="CI13" s="55">
        <f t="shared" si="48"/>
        <v>-0.27913394978804618</v>
      </c>
      <c r="CK13" t="str">
        <f t="shared" si="49"/>
        <v>24 Business, media and public service professionals</v>
      </c>
      <c r="CL13" s="55">
        <v>0.51870365096706506</v>
      </c>
      <c r="CM13" s="55">
        <v>0.53108692622220111</v>
      </c>
      <c r="CN13" s="55">
        <v>0.64596547543810201</v>
      </c>
      <c r="CO13" s="55">
        <v>0.4632334318587995</v>
      </c>
      <c r="CP13" s="55">
        <v>0.35132501500276314</v>
      </c>
      <c r="CQ13" s="55"/>
      <c r="CR13" s="55">
        <f t="shared" si="50"/>
        <v>-0.29464046043533887</v>
      </c>
      <c r="CS13" s="55">
        <f>'RD T1'!E273</f>
        <v>0.16365818287024261</v>
      </c>
      <c r="CT13" s="55">
        <f t="shared" si="51"/>
        <v>-0.13098227756509626</v>
      </c>
    </row>
    <row r="14" spans="1:98">
      <c r="A14" s="10" t="str">
        <f>name!D10</f>
        <v>31 Science, engineering and technology associate professionals</v>
      </c>
      <c r="B14" s="55">
        <v>0.10937175080501037</v>
      </c>
      <c r="C14" s="55">
        <v>0.14038239305226261</v>
      </c>
      <c r="D14" s="55">
        <v>0.13320598431175687</v>
      </c>
      <c r="E14" s="55">
        <v>0.16703223386735055</v>
      </c>
      <c r="F14" s="55">
        <v>0.2774025258643471</v>
      </c>
      <c r="G14" s="11"/>
      <c r="H14" s="55">
        <f t="shared" si="26"/>
        <v>0.14419654155259023</v>
      </c>
      <c r="I14" s="55">
        <f>'RD T1'!E42</f>
        <v>8.7973987318718291E-2</v>
      </c>
      <c r="J14" s="55">
        <f t="shared" si="27"/>
        <v>0.23217052887130851</v>
      </c>
      <c r="L14" t="str">
        <f t="shared" si="28"/>
        <v>31 Science, engineering and technology associate professionals</v>
      </c>
      <c r="M14" s="55">
        <v>0.67739886167173535</v>
      </c>
      <c r="N14" s="55">
        <v>0.93777171418653604</v>
      </c>
      <c r="O14" s="55">
        <v>0.89197339166385037</v>
      </c>
      <c r="P14" s="55">
        <v>1.0087874460252237</v>
      </c>
      <c r="Q14" s="55">
        <v>1.4291071858717985</v>
      </c>
      <c r="R14" s="11"/>
      <c r="S14" s="55">
        <f t="shared" si="29"/>
        <v>0.53713379420794816</v>
      </c>
      <c r="T14" s="55">
        <f>'RD T1'!E71</f>
        <v>0.46460699920037746</v>
      </c>
      <c r="U14" s="55">
        <f t="shared" si="30"/>
        <v>1.0017407934083256</v>
      </c>
      <c r="W14" t="str">
        <f t="shared" si="31"/>
        <v>31 Science, engineering and technology associate professionals</v>
      </c>
      <c r="X14" s="55">
        <v>1.8139972897861201</v>
      </c>
      <c r="Y14" s="55">
        <v>1.7649808893296592</v>
      </c>
      <c r="Z14" s="55">
        <v>1.9460628475140151</v>
      </c>
      <c r="AA14" s="55">
        <v>1.8536678911676796</v>
      </c>
      <c r="AB14" s="55">
        <v>2.0394363897983956</v>
      </c>
      <c r="AC14" s="55"/>
      <c r="AD14" s="55">
        <f t="shared" si="32"/>
        <v>9.337354228438044E-2</v>
      </c>
      <c r="AE14" s="55">
        <f>'RD T1'!E100</f>
        <v>0.85002865579271547</v>
      </c>
      <c r="AF14" s="55">
        <f t="shared" si="33"/>
        <v>0.94340219807709591</v>
      </c>
      <c r="AH14" t="str">
        <f t="shared" si="34"/>
        <v>31 Science, engineering and technology associate professionals</v>
      </c>
      <c r="AI14" s="55">
        <v>0.32262196732157711</v>
      </c>
      <c r="AJ14" s="55">
        <v>0.33778337908363887</v>
      </c>
      <c r="AK14" s="55">
        <v>0.39588247104166968</v>
      </c>
      <c r="AL14" s="55">
        <v>0.3968282883003445</v>
      </c>
      <c r="AM14" s="55">
        <v>0.50723636153270435</v>
      </c>
      <c r="AN14" s="55"/>
      <c r="AO14" s="55">
        <f t="shared" si="35"/>
        <v>0.11135389049103467</v>
      </c>
      <c r="AP14" s="55">
        <f>'RD T1'!E129</f>
        <v>0.19936866662614089</v>
      </c>
      <c r="AQ14" s="55">
        <f t="shared" si="36"/>
        <v>0.31072255711717556</v>
      </c>
      <c r="AS14" t="str">
        <f t="shared" si="37"/>
        <v>31 Science, engineering and technology associate professionals</v>
      </c>
      <c r="AT14" s="55">
        <v>0.90991231793980965</v>
      </c>
      <c r="AU14" s="55">
        <v>0.854006378597432</v>
      </c>
      <c r="AV14" s="55">
        <v>0.92364501368193619</v>
      </c>
      <c r="AW14" s="55">
        <v>0.7761081609338637</v>
      </c>
      <c r="AX14" s="55">
        <v>0.75919562600292712</v>
      </c>
      <c r="AY14" s="55"/>
      <c r="AZ14" s="55">
        <f t="shared" si="38"/>
        <v>-0.16444938767900907</v>
      </c>
      <c r="BA14" s="55">
        <f>'RD T1'!E158</f>
        <v>0.29367876171319174</v>
      </c>
      <c r="BB14" s="55">
        <f t="shared" si="39"/>
        <v>0.12922937403418266</v>
      </c>
      <c r="BD14" t="str">
        <f t="shared" si="40"/>
        <v>31 Science, engineering and technology associate professionals</v>
      </c>
      <c r="BE14" s="55">
        <v>1.5383212138356523</v>
      </c>
      <c r="BF14" s="55">
        <v>1.5521480420703793</v>
      </c>
      <c r="BG14" s="55">
        <v>1.6765339298795463</v>
      </c>
      <c r="BH14" s="55">
        <v>1.4336993500910398</v>
      </c>
      <c r="BI14" s="55">
        <v>1.2478088203153364</v>
      </c>
      <c r="BJ14" s="55"/>
      <c r="BK14" s="55">
        <f t="shared" si="41"/>
        <v>-0.42872510956420995</v>
      </c>
      <c r="BL14" s="55">
        <f>'RD T1'!E187</f>
        <v>0.47412904048591015</v>
      </c>
      <c r="BM14" s="55">
        <f t="shared" si="42"/>
        <v>4.5403930921700197E-2</v>
      </c>
      <c r="BO14" t="str">
        <f t="shared" si="43"/>
        <v>31 Science, engineering and technology associate professionals</v>
      </c>
      <c r="BP14" s="55">
        <v>1.1658634701916282</v>
      </c>
      <c r="BQ14" s="55">
        <v>1.3343705630355971</v>
      </c>
      <c r="BR14" s="55">
        <v>1.3631230461952171</v>
      </c>
      <c r="BS14" s="55">
        <v>1.2956707375920304</v>
      </c>
      <c r="BT14" s="55">
        <v>1.2449711446457814</v>
      </c>
      <c r="BU14" s="55"/>
      <c r="BV14" s="55">
        <f t="shared" si="44"/>
        <v>-0.11815190154943567</v>
      </c>
      <c r="BW14" s="55">
        <f>'RD T1'!E216</f>
        <v>0.49232322600211781</v>
      </c>
      <c r="BX14" s="55">
        <f t="shared" si="45"/>
        <v>0.37417132445268214</v>
      </c>
      <c r="BZ14" t="str">
        <f t="shared" si="46"/>
        <v>31 Science, engineering and technology associate professionals</v>
      </c>
      <c r="CA14" s="55">
        <v>0.87501643931220707</v>
      </c>
      <c r="CB14" s="55">
        <v>0.91037958778492445</v>
      </c>
      <c r="CC14" s="55">
        <v>1.0571328406662892</v>
      </c>
      <c r="CD14" s="55">
        <v>0.8277452766994543</v>
      </c>
      <c r="CE14" s="55">
        <v>0.63703341954695702</v>
      </c>
      <c r="CF14" s="55"/>
      <c r="CG14" s="55">
        <f t="shared" si="47"/>
        <v>-0.42009942111933218</v>
      </c>
      <c r="CH14" s="55">
        <f>'RD T1'!E245</f>
        <v>0.28278382783139167</v>
      </c>
      <c r="CI14" s="55">
        <f t="shared" si="48"/>
        <v>-0.13731559328794052</v>
      </c>
      <c r="CK14" t="str">
        <f t="shared" si="49"/>
        <v>31 Science, engineering and technology associate professionals</v>
      </c>
      <c r="CL14" s="55">
        <v>0.2271304567007785</v>
      </c>
      <c r="CM14" s="55">
        <v>0.24599479696113064</v>
      </c>
      <c r="CN14" s="55">
        <v>0.32434123960780642</v>
      </c>
      <c r="CO14" s="55">
        <v>0.25507629527259756</v>
      </c>
      <c r="CP14" s="55">
        <v>0.28612459896630899</v>
      </c>
      <c r="CQ14" s="55"/>
      <c r="CR14" s="55">
        <f t="shared" si="50"/>
        <v>-3.8216640641497435E-2</v>
      </c>
      <c r="CS14" s="55">
        <f>'RD T1'!E274</f>
        <v>0.10595298393677755</v>
      </c>
      <c r="CT14" s="55">
        <f t="shared" si="51"/>
        <v>6.773634329528011E-2</v>
      </c>
    </row>
    <row r="15" spans="1:98">
      <c r="A15" s="10" t="str">
        <f>name!D11</f>
        <v>32 Health and social care associate professionals</v>
      </c>
      <c r="B15" s="55">
        <v>2.8160541695273614E-2</v>
      </c>
      <c r="C15" s="55">
        <v>4.3319498603377332E-2</v>
      </c>
      <c r="D15" s="55">
        <v>3.8733213013957192E-2</v>
      </c>
      <c r="E15" s="55">
        <v>8.3791180239643964E-2</v>
      </c>
      <c r="F15" s="55">
        <v>0.17991598082202204</v>
      </c>
      <c r="G15" s="11"/>
      <c r="H15" s="55">
        <f t="shared" si="26"/>
        <v>0.14118276780806485</v>
      </c>
      <c r="I15" s="55">
        <f>'RD T1'!E43</f>
        <v>6.1385037719701913E-2</v>
      </c>
      <c r="J15" s="55">
        <f t="shared" si="27"/>
        <v>0.20256780552776676</v>
      </c>
      <c r="L15" t="str">
        <f t="shared" si="28"/>
        <v>32 Health and social care associate professionals</v>
      </c>
      <c r="M15" s="55">
        <v>0.71097589101669711</v>
      </c>
      <c r="N15" s="55">
        <v>1.2135484369270719</v>
      </c>
      <c r="O15" s="55">
        <v>1.2407969519020348</v>
      </c>
      <c r="P15" s="55">
        <v>2.5926061452678102</v>
      </c>
      <c r="Q15" s="55">
        <v>4.9390747004282103</v>
      </c>
      <c r="R15" s="11"/>
      <c r="S15" s="55">
        <f t="shared" si="29"/>
        <v>3.6982777485261753</v>
      </c>
      <c r="T15" s="55">
        <f>'RD T1'!E72</f>
        <v>1.7399345749874491</v>
      </c>
      <c r="U15" s="55">
        <f t="shared" si="30"/>
        <v>5.4382123235136248</v>
      </c>
      <c r="W15" t="str">
        <f t="shared" si="31"/>
        <v>32 Health and social care associate professionals</v>
      </c>
      <c r="X15" s="55">
        <v>2.5555045398663871</v>
      </c>
      <c r="Y15" s="55">
        <v>3.1259089141109055</v>
      </c>
      <c r="Z15" s="55">
        <v>3.4708237795724934</v>
      </c>
      <c r="AA15" s="55">
        <v>5.976952178269749</v>
      </c>
      <c r="AB15" s="55">
        <v>7.724786127820737</v>
      </c>
      <c r="AC15" s="55"/>
      <c r="AD15" s="55">
        <f t="shared" si="32"/>
        <v>4.253962348248244</v>
      </c>
      <c r="AE15" s="55">
        <f>'RD T1'!E101</f>
        <v>4.1164988812151808</v>
      </c>
      <c r="AF15" s="55">
        <f t="shared" si="33"/>
        <v>8.3704612294634249</v>
      </c>
      <c r="AH15" t="str">
        <f t="shared" si="34"/>
        <v>32 Health and social care associate professionals</v>
      </c>
      <c r="AI15" s="55">
        <v>1.868591964542579</v>
      </c>
      <c r="AJ15" s="55">
        <v>1.7400323362998211</v>
      </c>
      <c r="AK15" s="55">
        <v>1.8312643023177801</v>
      </c>
      <c r="AL15" s="55">
        <v>2.0670829853158921</v>
      </c>
      <c r="AM15" s="55">
        <v>1.3089677811542919</v>
      </c>
      <c r="AN15" s="55"/>
      <c r="AO15" s="55">
        <f t="shared" si="35"/>
        <v>-0.52229652116348824</v>
      </c>
      <c r="AP15" s="55">
        <f>'RD T1'!E130</f>
        <v>0.8100250462153985</v>
      </c>
      <c r="AQ15" s="55">
        <f t="shared" si="36"/>
        <v>0.28772852505191027</v>
      </c>
      <c r="AS15" t="str">
        <f t="shared" si="37"/>
        <v>32 Health and social care associate professionals</v>
      </c>
      <c r="AT15" s="55">
        <v>0.38101691405621135</v>
      </c>
      <c r="AU15" s="55">
        <v>0.41689668760247128</v>
      </c>
      <c r="AV15" s="55">
        <v>0.4868168356526329</v>
      </c>
      <c r="AW15" s="55">
        <v>0.71035257547697461</v>
      </c>
      <c r="AX15" s="55">
        <v>0.84120850129761737</v>
      </c>
      <c r="AY15" s="55"/>
      <c r="AZ15" s="55">
        <f t="shared" si="38"/>
        <v>0.35439166564498448</v>
      </c>
      <c r="BA15" s="55">
        <f>'RD T1'!E159</f>
        <v>0.42133084571719853</v>
      </c>
      <c r="BB15" s="55">
        <f t="shared" si="39"/>
        <v>0.77572251136218306</v>
      </c>
      <c r="BD15" t="str">
        <f t="shared" si="40"/>
        <v>32 Health and social care associate professionals</v>
      </c>
      <c r="BE15" s="55">
        <v>1.4975563253138713</v>
      </c>
      <c r="BF15" s="55">
        <v>2.0867469327437296</v>
      </c>
      <c r="BG15" s="55">
        <v>1.9732219188287832</v>
      </c>
      <c r="BH15" s="55">
        <v>3.3290914040387136</v>
      </c>
      <c r="BI15" s="55">
        <v>3.7010743102005836</v>
      </c>
      <c r="BJ15" s="55"/>
      <c r="BK15" s="55">
        <f t="shared" si="41"/>
        <v>1.7278523913718005</v>
      </c>
      <c r="BL15" s="55">
        <f>'RD T1'!E188</f>
        <v>1.9232227755700901</v>
      </c>
      <c r="BM15" s="55">
        <f t="shared" si="42"/>
        <v>3.6510751669418906</v>
      </c>
      <c r="BO15" t="str">
        <f t="shared" si="43"/>
        <v>32 Health and social care associate professionals</v>
      </c>
      <c r="BP15" s="55">
        <v>1.3596234482459595</v>
      </c>
      <c r="BQ15" s="55">
        <v>1.6895357051992259</v>
      </c>
      <c r="BR15" s="55">
        <v>1.394629924351392</v>
      </c>
      <c r="BS15" s="55">
        <v>2.2584836566408635</v>
      </c>
      <c r="BT15" s="55">
        <v>1.9425773289129584</v>
      </c>
      <c r="BU15" s="55"/>
      <c r="BV15" s="55">
        <f t="shared" si="44"/>
        <v>0.54794740456156643</v>
      </c>
      <c r="BW15" s="55">
        <f>'RD T1'!E217</f>
        <v>1.1497815306246291</v>
      </c>
      <c r="BX15" s="55">
        <f t="shared" si="45"/>
        <v>1.6977289351861955</v>
      </c>
      <c r="BZ15" t="str">
        <f t="shared" si="46"/>
        <v>32 Health and social care associate professionals</v>
      </c>
      <c r="CA15" s="55">
        <v>0.53073894577593594</v>
      </c>
      <c r="CB15" s="55">
        <v>0.53726334765404049</v>
      </c>
      <c r="CC15" s="55">
        <v>0.4434376536640845</v>
      </c>
      <c r="CD15" s="55">
        <v>0.53488147591933888</v>
      </c>
      <c r="CE15" s="55">
        <v>0.30336473279635889</v>
      </c>
      <c r="CF15" s="55"/>
      <c r="CG15" s="55">
        <f t="shared" si="47"/>
        <v>-0.1400729208677256</v>
      </c>
      <c r="CH15" s="55">
        <f>'RD T1'!E246</f>
        <v>0.20164189826166137</v>
      </c>
      <c r="CI15" s="55">
        <f t="shared" si="48"/>
        <v>6.156897739393577E-2</v>
      </c>
      <c r="CK15" t="str">
        <f t="shared" si="49"/>
        <v>32 Health and social care associate professionals</v>
      </c>
      <c r="CL15" s="55">
        <v>0.10072118747074432</v>
      </c>
      <c r="CM15" s="55">
        <v>0.10347791128767368</v>
      </c>
      <c r="CN15" s="55">
        <v>0.12215912615490418</v>
      </c>
      <c r="CO15" s="55">
        <v>0.12690749697996326</v>
      </c>
      <c r="CP15" s="55">
        <v>0.11485210956567854</v>
      </c>
      <c r="CQ15" s="55"/>
      <c r="CR15" s="55">
        <f t="shared" si="50"/>
        <v>-7.30701658922564E-3</v>
      </c>
      <c r="CS15" s="55">
        <f>'RD T1'!E275</f>
        <v>5.1791669254615202E-2</v>
      </c>
      <c r="CT15" s="55">
        <f t="shared" si="51"/>
        <v>4.4484652665389562E-2</v>
      </c>
    </row>
    <row r="16" spans="1:98">
      <c r="A16" s="10" t="str">
        <f>name!D12</f>
        <v>33 Protective service occupations</v>
      </c>
      <c r="B16" s="55">
        <v>1.664442237519112E-2</v>
      </c>
      <c r="C16" s="55">
        <v>2.4924163911466523E-2</v>
      </c>
      <c r="D16" s="55">
        <v>2.2432930127284478E-2</v>
      </c>
      <c r="E16" s="55">
        <v>2.7692593531975312E-2</v>
      </c>
      <c r="F16" s="55">
        <v>4.7948951707330351E-2</v>
      </c>
      <c r="G16" s="11"/>
      <c r="H16" s="55">
        <f t="shared" si="26"/>
        <v>2.5516021580045872E-2</v>
      </c>
      <c r="I16" s="55">
        <f>'RD T1'!E44</f>
        <v>1.2652767762226538E-2</v>
      </c>
      <c r="J16" s="55">
        <f t="shared" si="27"/>
        <v>3.8168789342272413E-2</v>
      </c>
      <c r="L16" t="str">
        <f t="shared" si="28"/>
        <v>33 Protective service occupations</v>
      </c>
      <c r="M16" s="55">
        <v>0.20785401319091398</v>
      </c>
      <c r="N16" s="55">
        <v>0.28541465615357342</v>
      </c>
      <c r="O16" s="55">
        <v>0.26295984207773249</v>
      </c>
      <c r="P16" s="55">
        <v>0.29046618139341374</v>
      </c>
      <c r="Q16" s="55">
        <v>0.47477267646927285</v>
      </c>
      <c r="R16" s="11"/>
      <c r="S16" s="55">
        <f t="shared" si="29"/>
        <v>0.21181283439154036</v>
      </c>
      <c r="T16" s="55">
        <f>'RD T1'!E73</f>
        <v>0.11185815193075105</v>
      </c>
      <c r="U16" s="55">
        <f t="shared" si="30"/>
        <v>0.32367098632229141</v>
      </c>
      <c r="W16" t="str">
        <f t="shared" si="31"/>
        <v>33 Protective service occupations</v>
      </c>
      <c r="X16" s="55">
        <v>0.95608290117505557</v>
      </c>
      <c r="Y16" s="55">
        <v>0.95757043214211179</v>
      </c>
      <c r="Z16" s="55">
        <v>1.124342968392632</v>
      </c>
      <c r="AA16" s="55">
        <v>1.0255094272201366</v>
      </c>
      <c r="AB16" s="55">
        <v>1.4209995577161691</v>
      </c>
      <c r="AC16" s="55"/>
      <c r="AD16" s="55">
        <f t="shared" si="32"/>
        <v>0.29665658932353711</v>
      </c>
      <c r="AE16" s="55">
        <f>'RD T1'!E102</f>
        <v>0.49098845519748668</v>
      </c>
      <c r="AF16" s="55">
        <f t="shared" si="33"/>
        <v>0.7876450445210238</v>
      </c>
      <c r="AH16" t="str">
        <f t="shared" si="34"/>
        <v>33 Protective service occupations</v>
      </c>
      <c r="AI16" s="55">
        <v>0.29390943476556414</v>
      </c>
      <c r="AJ16" s="55">
        <v>0.28715269173222063</v>
      </c>
      <c r="AK16" s="55">
        <v>0.33206457252668936</v>
      </c>
      <c r="AL16" s="55">
        <v>0.31058101877948446</v>
      </c>
      <c r="AM16" s="55">
        <v>0.42456479066631758</v>
      </c>
      <c r="AN16" s="55"/>
      <c r="AO16" s="55">
        <f t="shared" si="35"/>
        <v>9.2500218139628221E-2</v>
      </c>
      <c r="AP16" s="55">
        <f>'RD T1'!E131</f>
        <v>0.12749148315581629</v>
      </c>
      <c r="AQ16" s="55">
        <f t="shared" si="36"/>
        <v>0.21999170129544451</v>
      </c>
      <c r="AS16" t="str">
        <f t="shared" si="37"/>
        <v>33 Protective service occupations</v>
      </c>
      <c r="AT16" s="55">
        <v>0.26631789233432773</v>
      </c>
      <c r="AU16" s="55">
        <v>0.23738394149475758</v>
      </c>
      <c r="AV16" s="55">
        <v>0.26767528822835562</v>
      </c>
      <c r="AW16" s="55">
        <v>0.21827617852540396</v>
      </c>
      <c r="AX16" s="55">
        <v>0.25639241955941589</v>
      </c>
      <c r="AY16" s="55"/>
      <c r="AZ16" s="55">
        <f t="shared" si="38"/>
        <v>-1.1282868668939738E-2</v>
      </c>
      <c r="BA16" s="55">
        <f>'RD T1'!E160</f>
        <v>8.8558037479151572E-2</v>
      </c>
      <c r="BB16" s="55">
        <f t="shared" si="39"/>
        <v>7.7275168810211833E-2</v>
      </c>
      <c r="BD16" t="str">
        <f t="shared" si="40"/>
        <v>33 Protective service occupations</v>
      </c>
      <c r="BE16" s="55">
        <v>0.85767162178892697</v>
      </c>
      <c r="BF16" s="55">
        <v>0.83724990443675995</v>
      </c>
      <c r="BG16" s="55">
        <v>0.88226416705534028</v>
      </c>
      <c r="BH16" s="55">
        <v>0.74384351696786255</v>
      </c>
      <c r="BI16" s="55">
        <v>0.70580031290285949</v>
      </c>
      <c r="BJ16" s="55"/>
      <c r="BK16" s="55">
        <f t="shared" si="41"/>
        <v>-0.17646385415248078</v>
      </c>
      <c r="BL16" s="55">
        <f>'RD T1'!E189</f>
        <v>0.19060101214731184</v>
      </c>
      <c r="BM16" s="55">
        <f t="shared" si="42"/>
        <v>1.4137157994831062E-2</v>
      </c>
      <c r="BO16" t="str">
        <f t="shared" si="43"/>
        <v>33 Protective service occupations</v>
      </c>
      <c r="BP16" s="55">
        <v>1.0749364035975053</v>
      </c>
      <c r="BQ16" s="55">
        <v>1.1122874836303853</v>
      </c>
      <c r="BR16" s="55">
        <v>1.0800754169133155</v>
      </c>
      <c r="BS16" s="55">
        <v>0.91375863227845011</v>
      </c>
      <c r="BT16" s="55">
        <v>0.75792641204205791</v>
      </c>
      <c r="BU16" s="55"/>
      <c r="BV16" s="55">
        <f t="shared" si="44"/>
        <v>-0.32214900487125764</v>
      </c>
      <c r="BW16" s="55">
        <f>'RD T1'!E218</f>
        <v>0.26986703903965986</v>
      </c>
      <c r="BX16" s="55">
        <f t="shared" si="45"/>
        <v>-5.2281965831597776E-2</v>
      </c>
      <c r="BZ16" t="str">
        <f t="shared" si="46"/>
        <v>33 Protective service occupations</v>
      </c>
      <c r="CA16" s="55">
        <v>0.61543490600842365</v>
      </c>
      <c r="CB16" s="55">
        <v>0.5669034477943985</v>
      </c>
      <c r="CC16" s="55">
        <v>0.58393212527107796</v>
      </c>
      <c r="CD16" s="55">
        <v>0.43531944502849246</v>
      </c>
      <c r="CE16" s="55">
        <v>0.29210986721005272</v>
      </c>
      <c r="CF16" s="55"/>
      <c r="CG16" s="55">
        <f t="shared" si="47"/>
        <v>-0.29182225806102524</v>
      </c>
      <c r="CH16" s="55">
        <f>'RD T1'!E247</f>
        <v>0.13653936633025288</v>
      </c>
      <c r="CI16" s="55">
        <f t="shared" si="48"/>
        <v>-0.15528289173077237</v>
      </c>
      <c r="CK16" t="str">
        <f t="shared" si="49"/>
        <v>33 Protective service occupations</v>
      </c>
      <c r="CL16" s="55">
        <v>0.15557169891515898</v>
      </c>
      <c r="CM16" s="55">
        <v>0.11812186801944327</v>
      </c>
      <c r="CN16" s="55">
        <v>0.13157433054553327</v>
      </c>
      <c r="CO16" s="55">
        <v>9.2714360890146397E-2</v>
      </c>
      <c r="CP16" s="55">
        <v>7.1410348938892476E-2</v>
      </c>
      <c r="CQ16" s="55"/>
      <c r="CR16" s="55">
        <f t="shared" si="50"/>
        <v>-6.0163981606640798E-2</v>
      </c>
      <c r="CS16" s="55">
        <f>'RD T1'!E276</f>
        <v>2.0668394386851443E-2</v>
      </c>
      <c r="CT16" s="55">
        <f t="shared" si="51"/>
        <v>-3.9495587219789352E-2</v>
      </c>
    </row>
    <row r="17" spans="1:98">
      <c r="A17" s="10" t="str">
        <f>name!D13</f>
        <v>34 Culture, media and sports occupations</v>
      </c>
      <c r="B17" s="55">
        <v>5.165431738720612E-2</v>
      </c>
      <c r="C17" s="55">
        <v>7.43165599488569E-2</v>
      </c>
      <c r="D17" s="55">
        <v>7.6039895423084883E-2</v>
      </c>
      <c r="E17" s="55">
        <v>8.8781141215940176E-2</v>
      </c>
      <c r="F17" s="55">
        <v>0.12720755046618773</v>
      </c>
      <c r="G17" s="11"/>
      <c r="H17" s="55">
        <f t="shared" si="26"/>
        <v>5.1167655043102847E-2</v>
      </c>
      <c r="I17" s="55">
        <f>'RD T1'!E45</f>
        <v>4.975127201042237E-2</v>
      </c>
      <c r="J17" s="55">
        <f t="shared" si="27"/>
        <v>0.10091892705352522</v>
      </c>
      <c r="L17" t="str">
        <f t="shared" si="28"/>
        <v>34 Culture, media and sports occupations</v>
      </c>
      <c r="M17" s="55">
        <v>0.98851283997538952</v>
      </c>
      <c r="N17" s="55">
        <v>1.339008174457593</v>
      </c>
      <c r="O17" s="55">
        <v>1.3351642188410457</v>
      </c>
      <c r="P17" s="55">
        <v>1.3593247268315392</v>
      </c>
      <c r="Q17" s="55">
        <v>1.8170052067832432</v>
      </c>
      <c r="R17" s="11"/>
      <c r="S17" s="55">
        <f t="shared" si="29"/>
        <v>0.48184098794219743</v>
      </c>
      <c r="T17" s="55">
        <f>'RD T1'!E74</f>
        <v>0.74367698004453153</v>
      </c>
      <c r="U17" s="55">
        <f t="shared" si="30"/>
        <v>1.225517967986729</v>
      </c>
      <c r="W17" t="str">
        <f t="shared" si="31"/>
        <v>34 Culture, media and sports occupations</v>
      </c>
      <c r="X17" s="55">
        <v>2.8348597716919466</v>
      </c>
      <c r="Y17" s="55">
        <v>2.6409239617206843</v>
      </c>
      <c r="Z17" s="55">
        <v>2.7855782609015396</v>
      </c>
      <c r="AA17" s="55">
        <v>2.3955231189800275</v>
      </c>
      <c r="AB17" s="55">
        <v>2.5815882750732961</v>
      </c>
      <c r="AC17" s="55"/>
      <c r="AD17" s="55">
        <f t="shared" si="32"/>
        <v>-0.20398998582824346</v>
      </c>
      <c r="AE17" s="55">
        <f>'RD T1'!E103</f>
        <v>1.2227604309911255</v>
      </c>
      <c r="AF17" s="55">
        <f t="shared" si="33"/>
        <v>1.0187704451628821</v>
      </c>
      <c r="AH17" t="str">
        <f t="shared" si="34"/>
        <v>34 Culture, media and sports occupations</v>
      </c>
      <c r="AI17" s="55">
        <v>0.40760091977583518</v>
      </c>
      <c r="AJ17" s="55">
        <v>0.33262213733114249</v>
      </c>
      <c r="AK17" s="55">
        <v>0.40391274259369137</v>
      </c>
      <c r="AL17" s="55">
        <v>0.35953034687454399</v>
      </c>
      <c r="AM17" s="55">
        <v>0.46386653221143126</v>
      </c>
      <c r="AN17" s="55"/>
      <c r="AO17" s="55">
        <f t="shared" si="35"/>
        <v>5.9953789617739894E-2</v>
      </c>
      <c r="AP17" s="55">
        <f>'RD T1'!E132</f>
        <v>0.20327750647640594</v>
      </c>
      <c r="AQ17" s="55">
        <f t="shared" si="36"/>
        <v>0.26323129609414586</v>
      </c>
      <c r="AS17" t="str">
        <f t="shared" si="37"/>
        <v>34 Culture, media and sports occupations</v>
      </c>
      <c r="AT17" s="55">
        <v>0.47934304354206642</v>
      </c>
      <c r="AU17" s="55">
        <v>0.4266274796501211</v>
      </c>
      <c r="AV17" s="55">
        <v>0.44941487694805166</v>
      </c>
      <c r="AW17" s="55">
        <v>0.36698516954863974</v>
      </c>
      <c r="AX17" s="55">
        <v>0.37875592591330393</v>
      </c>
      <c r="AY17" s="55"/>
      <c r="AZ17" s="55">
        <f t="shared" si="38"/>
        <v>-7.065895103474773E-2</v>
      </c>
      <c r="BA17" s="55">
        <f>'RD T1'!E161</f>
        <v>0.18006279794574451</v>
      </c>
      <c r="BB17" s="55">
        <f t="shared" si="39"/>
        <v>0.10940384691099678</v>
      </c>
      <c r="BD17" t="str">
        <f t="shared" si="40"/>
        <v>34 Culture, media and sports occupations</v>
      </c>
      <c r="BE17" s="55">
        <v>1.2538755975475313</v>
      </c>
      <c r="BF17" s="55">
        <v>1.2973977829083372</v>
      </c>
      <c r="BG17" s="55">
        <v>1.3412787689100634</v>
      </c>
      <c r="BH17" s="55">
        <v>1.1550563604982169</v>
      </c>
      <c r="BI17" s="55">
        <v>1.2749236706254128</v>
      </c>
      <c r="BJ17" s="55"/>
      <c r="BK17" s="55">
        <f t="shared" si="41"/>
        <v>-6.6355098284650582E-2</v>
      </c>
      <c r="BL17" s="55">
        <f>'RD T1'!E190</f>
        <v>0.47639873224359763</v>
      </c>
      <c r="BM17" s="55">
        <f t="shared" si="42"/>
        <v>0.41004363395894705</v>
      </c>
      <c r="BO17" t="str">
        <f t="shared" si="43"/>
        <v>34 Culture, media and sports occupations</v>
      </c>
      <c r="BP17" s="55">
        <v>0.69360904207765972</v>
      </c>
      <c r="BQ17" s="55">
        <v>0.64435161874153801</v>
      </c>
      <c r="BR17" s="55">
        <v>0.57269757331096904</v>
      </c>
      <c r="BS17" s="55">
        <v>0.44489575653982499</v>
      </c>
      <c r="BT17" s="55">
        <v>0.31415562195635427</v>
      </c>
      <c r="BU17" s="55"/>
      <c r="BV17" s="55">
        <f t="shared" si="44"/>
        <v>-0.25854195135461477</v>
      </c>
      <c r="BW17" s="55">
        <f>'RD T1'!E219</f>
        <v>0.15925074723303353</v>
      </c>
      <c r="BX17" s="55">
        <f t="shared" si="45"/>
        <v>-9.9291204121581239E-2</v>
      </c>
      <c r="BZ17" t="str">
        <f t="shared" si="46"/>
        <v>34 Culture, media and sports occupations</v>
      </c>
      <c r="CA17" s="55">
        <v>0.53695878566744748</v>
      </c>
      <c r="CB17" s="55">
        <v>0.45175287313527085</v>
      </c>
      <c r="CC17" s="55">
        <v>0.44332395509340033</v>
      </c>
      <c r="CD17" s="55">
        <v>0.27418428627251834</v>
      </c>
      <c r="CE17" s="55">
        <v>0.13840270709916119</v>
      </c>
      <c r="CF17" s="55"/>
      <c r="CG17" s="55">
        <f t="shared" si="47"/>
        <v>-0.30492124799423914</v>
      </c>
      <c r="CH17" s="55">
        <f>'RD T1'!E248</f>
        <v>8.7708272867228487E-2</v>
      </c>
      <c r="CI17" s="55">
        <f t="shared" si="48"/>
        <v>-0.21721297512701065</v>
      </c>
      <c r="CK17" t="str">
        <f t="shared" si="49"/>
        <v>34 Culture, media and sports occupations</v>
      </c>
      <c r="CL17" s="55">
        <v>0.28058319820101724</v>
      </c>
      <c r="CM17" s="55">
        <v>0.26371153865939467</v>
      </c>
      <c r="CN17" s="55">
        <v>0.2881935504382131</v>
      </c>
      <c r="CO17" s="55">
        <v>0.17949488545163542</v>
      </c>
      <c r="CP17" s="55">
        <v>0.14594160158156683</v>
      </c>
      <c r="CQ17" s="55"/>
      <c r="CR17" s="55">
        <f t="shared" si="50"/>
        <v>-0.14225194885664627</v>
      </c>
      <c r="CS17" s="55">
        <f>'RD T1'!E277</f>
        <v>6.6315576150305977E-2</v>
      </c>
      <c r="CT17" s="55">
        <f t="shared" si="51"/>
        <v>-7.5936372706340294E-2</v>
      </c>
    </row>
    <row r="18" spans="1:98">
      <c r="A18" s="10" t="str">
        <f>name!D14</f>
        <v>35 Business and public service associate professionals</v>
      </c>
      <c r="B18" s="55">
        <v>0.26623343650297954</v>
      </c>
      <c r="C18" s="55">
        <v>0.34422880676693696</v>
      </c>
      <c r="D18" s="55">
        <v>0.32599811584593136</v>
      </c>
      <c r="E18" s="55">
        <v>0.42745077302720347</v>
      </c>
      <c r="F18" s="55">
        <v>0.69076741328584046</v>
      </c>
      <c r="G18" s="11"/>
      <c r="H18" s="55">
        <f t="shared" si="26"/>
        <v>0.3647692974399091</v>
      </c>
      <c r="I18" s="55">
        <f>'RD T1'!E46</f>
        <v>0.23086147830108672</v>
      </c>
      <c r="J18" s="55">
        <f t="shared" si="27"/>
        <v>0.59563077574099577</v>
      </c>
      <c r="L18" t="str">
        <f t="shared" si="28"/>
        <v>35 Business and public service associate professionals</v>
      </c>
      <c r="M18" s="55">
        <v>2.6740290378626366</v>
      </c>
      <c r="N18" s="55">
        <v>3.5206142866940633</v>
      </c>
      <c r="O18" s="55">
        <v>3.4406607165194942</v>
      </c>
      <c r="P18" s="55">
        <v>4.3164964619121351</v>
      </c>
      <c r="Q18" s="55">
        <v>6.318766965653027</v>
      </c>
      <c r="R18" s="11"/>
      <c r="S18" s="55">
        <f t="shared" si="29"/>
        <v>2.8781062491335327</v>
      </c>
      <c r="T18" s="55">
        <f>'RD T1'!E75</f>
        <v>2.3019437880674398</v>
      </c>
      <c r="U18" s="55">
        <f t="shared" si="30"/>
        <v>5.1800500372009726</v>
      </c>
      <c r="W18" t="str">
        <f t="shared" si="31"/>
        <v>35 Business and public service associate professionals</v>
      </c>
      <c r="X18" s="55">
        <v>7.0720386543720446</v>
      </c>
      <c r="Y18" s="55">
        <v>6.5004711878642949</v>
      </c>
      <c r="Z18" s="55">
        <v>7.2118454489882708</v>
      </c>
      <c r="AA18" s="55">
        <v>7.2765101705441975</v>
      </c>
      <c r="AB18" s="55">
        <v>7.7504413924660005</v>
      </c>
      <c r="AC18" s="55"/>
      <c r="AD18" s="55">
        <f t="shared" si="32"/>
        <v>0.53859594347772966</v>
      </c>
      <c r="AE18" s="55">
        <f>'RD T1'!E104</f>
        <v>3.8207037156991071</v>
      </c>
      <c r="AF18" s="55">
        <f t="shared" si="33"/>
        <v>4.3592996591768367</v>
      </c>
      <c r="AH18" t="str">
        <f t="shared" si="34"/>
        <v>35 Business and public service associate professionals</v>
      </c>
      <c r="AI18" s="55">
        <v>1.9343251803956691</v>
      </c>
      <c r="AJ18" s="55">
        <v>1.8837194928200456</v>
      </c>
      <c r="AK18" s="55">
        <v>2.1830122364258782</v>
      </c>
      <c r="AL18" s="55">
        <v>2.2198627780015667</v>
      </c>
      <c r="AM18" s="55">
        <v>2.4623971375195155</v>
      </c>
      <c r="AN18" s="55"/>
      <c r="AO18" s="55">
        <f t="shared" si="35"/>
        <v>0.27938490109363734</v>
      </c>
      <c r="AP18" s="55">
        <f>'RD T1'!E133</f>
        <v>1.130411986713139</v>
      </c>
      <c r="AQ18" s="55">
        <f t="shared" si="36"/>
        <v>1.4097968878067764</v>
      </c>
      <c r="AS18" t="str">
        <f t="shared" si="37"/>
        <v>35 Business and public service associate professionals</v>
      </c>
      <c r="AT18" s="55">
        <v>1.871396549999657</v>
      </c>
      <c r="AU18" s="55">
        <v>1.7040194060639662</v>
      </c>
      <c r="AV18" s="55">
        <v>1.9063882231556719</v>
      </c>
      <c r="AW18" s="55">
        <v>1.9178686335201709</v>
      </c>
      <c r="AX18" s="55">
        <v>2.1264567102344079</v>
      </c>
      <c r="AY18" s="55"/>
      <c r="AZ18" s="55">
        <f t="shared" si="38"/>
        <v>0.22006848707873594</v>
      </c>
      <c r="BA18" s="55">
        <f>'RD T1'!E162</f>
        <v>0.95234169425550197</v>
      </c>
      <c r="BB18" s="55">
        <f t="shared" si="39"/>
        <v>1.172410181334238</v>
      </c>
      <c r="BD18" t="str">
        <f t="shared" si="40"/>
        <v>35 Business and public service associate professionals</v>
      </c>
      <c r="BE18" s="55">
        <v>5.1774512965390826</v>
      </c>
      <c r="BF18" s="55">
        <v>5.5465844705959562</v>
      </c>
      <c r="BG18" s="55">
        <v>5.6383060969666561</v>
      </c>
      <c r="BH18" s="55">
        <v>5.5542811215519556</v>
      </c>
      <c r="BI18" s="55">
        <v>5.4622608952930731</v>
      </c>
      <c r="BJ18" s="55"/>
      <c r="BK18" s="55">
        <f t="shared" si="41"/>
        <v>-0.17604520167358295</v>
      </c>
      <c r="BL18" s="55">
        <f>'RD T1'!E191</f>
        <v>2.2960481171974392</v>
      </c>
      <c r="BM18" s="55">
        <f t="shared" si="42"/>
        <v>2.1200029155238562</v>
      </c>
      <c r="BO18" t="str">
        <f t="shared" si="43"/>
        <v>35 Business and public service associate professionals</v>
      </c>
      <c r="BP18" s="55">
        <v>4.7226752171239337</v>
      </c>
      <c r="BQ18" s="55">
        <v>4.8011439988853937</v>
      </c>
      <c r="BR18" s="55">
        <v>4.4396430658008654</v>
      </c>
      <c r="BS18" s="55">
        <v>4.3668567246829868</v>
      </c>
      <c r="BT18" s="55">
        <v>3.7353419357725377</v>
      </c>
      <c r="BU18" s="55"/>
      <c r="BV18" s="55">
        <f t="shared" si="44"/>
        <v>-0.70430113002832773</v>
      </c>
      <c r="BW18" s="55">
        <f>'RD T1'!E220</f>
        <v>1.736894434654692</v>
      </c>
      <c r="BX18" s="55">
        <f t="shared" si="45"/>
        <v>1.0325933046263642</v>
      </c>
      <c r="BZ18" t="str">
        <f t="shared" si="46"/>
        <v>35 Business and public service associate professionals</v>
      </c>
      <c r="CA18" s="55">
        <v>2.8703260018515206</v>
      </c>
      <c r="CB18" s="55">
        <v>2.6403045496580893</v>
      </c>
      <c r="CC18" s="55">
        <v>2.6004774873929857</v>
      </c>
      <c r="CD18" s="55">
        <v>2.0947016165907932</v>
      </c>
      <c r="CE18" s="55">
        <v>1.2664315714118151</v>
      </c>
      <c r="CF18" s="55"/>
      <c r="CG18" s="55">
        <f t="shared" si="47"/>
        <v>-1.3340459159811706</v>
      </c>
      <c r="CH18" s="55">
        <f>'RD T1'!E249</f>
        <v>0.69051000047668909</v>
      </c>
      <c r="CI18" s="55">
        <f t="shared" si="48"/>
        <v>-0.64353591550448153</v>
      </c>
      <c r="CK18" t="str">
        <f t="shared" si="49"/>
        <v>35 Business and public service associate professionals</v>
      </c>
      <c r="CL18" s="55">
        <v>0.89496565362356006</v>
      </c>
      <c r="CM18" s="55">
        <v>0.84302760214692296</v>
      </c>
      <c r="CN18" s="55">
        <v>0.97256066593665447</v>
      </c>
      <c r="CO18" s="55">
        <v>0.60832056280802882</v>
      </c>
      <c r="CP18" s="55">
        <v>0.51917055629754838</v>
      </c>
      <c r="CQ18" s="55"/>
      <c r="CR18" s="55">
        <f t="shared" si="50"/>
        <v>-0.45339010963910609</v>
      </c>
      <c r="CS18" s="55">
        <f>'RD T1'!E278</f>
        <v>0.20566464147618702</v>
      </c>
      <c r="CT18" s="55">
        <f t="shared" si="51"/>
        <v>-0.24772546816291907</v>
      </c>
    </row>
    <row r="19" spans="1:98">
      <c r="A19" s="10" t="str">
        <f>name!D15</f>
        <v>41 Administrative occupations</v>
      </c>
      <c r="B19" s="55">
        <v>0.21886835443276942</v>
      </c>
      <c r="C19" s="55">
        <v>0.26620884302064013</v>
      </c>
      <c r="D19" s="55">
        <v>0.27930704803573281</v>
      </c>
      <c r="E19" s="55">
        <v>0.38482077370186279</v>
      </c>
      <c r="F19" s="55">
        <v>0.64590567538924892</v>
      </c>
      <c r="G19" s="11"/>
      <c r="H19" s="55">
        <f t="shared" si="26"/>
        <v>0.36659862735351612</v>
      </c>
      <c r="I19" s="55">
        <f>'RD T1'!E47</f>
        <v>0.2270332374664005</v>
      </c>
      <c r="J19" s="55">
        <f t="shared" si="27"/>
        <v>0.59363186481991659</v>
      </c>
      <c r="L19" t="str">
        <f t="shared" si="28"/>
        <v>41 Administrative occupations</v>
      </c>
      <c r="M19" s="55">
        <v>2.08351761814437</v>
      </c>
      <c r="N19" s="55">
        <v>2.6772778056750686</v>
      </c>
      <c r="O19" s="55">
        <v>2.913821387094532</v>
      </c>
      <c r="P19" s="55">
        <v>3.9494495150883084</v>
      </c>
      <c r="Q19" s="55">
        <v>5.8517368396190221</v>
      </c>
      <c r="R19" s="11"/>
      <c r="S19" s="55">
        <f t="shared" si="29"/>
        <v>2.9379154525244902</v>
      </c>
      <c r="T19" s="55">
        <f>'RD T1'!E76</f>
        <v>2.2641214243771772</v>
      </c>
      <c r="U19" s="55">
        <f t="shared" si="30"/>
        <v>5.2020368769016674</v>
      </c>
      <c r="W19" t="str">
        <f t="shared" si="31"/>
        <v>41 Administrative occupations</v>
      </c>
      <c r="X19" s="55">
        <v>8.4810004813417343</v>
      </c>
      <c r="Y19" s="55">
        <v>7.6268101230053018</v>
      </c>
      <c r="Z19" s="55">
        <v>9.1944183745609376</v>
      </c>
      <c r="AA19" s="55">
        <v>10.549609257434136</v>
      </c>
      <c r="AB19" s="55">
        <v>12.661037788495385</v>
      </c>
      <c r="AC19" s="55"/>
      <c r="AD19" s="55">
        <f t="shared" si="32"/>
        <v>3.4666194139344473</v>
      </c>
      <c r="AE19" s="55">
        <f>'RD T1'!E105</f>
        <v>6.3197486962822653</v>
      </c>
      <c r="AF19" s="55">
        <f t="shared" si="33"/>
        <v>9.7863681102167135</v>
      </c>
      <c r="AH19" t="str">
        <f t="shared" si="34"/>
        <v>41 Administrative occupations</v>
      </c>
      <c r="AI19" s="55">
        <v>2.9647040605496287</v>
      </c>
      <c r="AJ19" s="55">
        <v>2.8054388220369599</v>
      </c>
      <c r="AK19" s="55">
        <v>3.4275540596470844</v>
      </c>
      <c r="AL19" s="55">
        <v>3.8023853753185537</v>
      </c>
      <c r="AM19" s="55">
        <v>4.5935831268623337</v>
      </c>
      <c r="AN19" s="55"/>
      <c r="AO19" s="55">
        <f t="shared" si="35"/>
        <v>1.1660290672152493</v>
      </c>
      <c r="AP19" s="55">
        <f>'RD T1'!E134</f>
        <v>2.4367032797402635</v>
      </c>
      <c r="AQ19" s="55">
        <f t="shared" si="36"/>
        <v>3.6027323469555128</v>
      </c>
      <c r="AS19" t="str">
        <f t="shared" si="37"/>
        <v>41 Administrative occupations</v>
      </c>
      <c r="AT19" s="55">
        <v>2.9932153826778691</v>
      </c>
      <c r="AU19" s="55">
        <v>2.5944168593304169</v>
      </c>
      <c r="AV19" s="55">
        <v>3.1883325092039434</v>
      </c>
      <c r="AW19" s="55">
        <v>3.3635431589347213</v>
      </c>
      <c r="AX19" s="55">
        <v>3.8878374636270778</v>
      </c>
      <c r="AY19" s="55"/>
      <c r="AZ19" s="55">
        <f t="shared" si="38"/>
        <v>0.69950495442313443</v>
      </c>
      <c r="BA19" s="55">
        <f>'RD T1'!E163</f>
        <v>1.9632355389815779</v>
      </c>
      <c r="BB19" s="55">
        <f t="shared" si="39"/>
        <v>2.6627404934047121</v>
      </c>
      <c r="BD19" t="str">
        <f t="shared" si="40"/>
        <v>41 Administrative occupations</v>
      </c>
      <c r="BE19" s="55">
        <v>9.9689734717021263</v>
      </c>
      <c r="BF19" s="55">
        <v>9.6851479513418504</v>
      </c>
      <c r="BG19" s="55">
        <v>9.8895340020557221</v>
      </c>
      <c r="BH19" s="55">
        <v>10.135362367774684</v>
      </c>
      <c r="BI19" s="55">
        <v>9.2729182447320646</v>
      </c>
      <c r="BJ19" s="55"/>
      <c r="BK19" s="55">
        <f t="shared" si="41"/>
        <v>-0.61661575732365748</v>
      </c>
      <c r="BL19" s="55">
        <f>'RD T1'!E192</f>
        <v>4.5405000874965644</v>
      </c>
      <c r="BM19" s="55">
        <f t="shared" si="42"/>
        <v>3.9238843301729069</v>
      </c>
      <c r="BO19" t="str">
        <f t="shared" si="43"/>
        <v>41 Administrative occupations</v>
      </c>
      <c r="BP19" s="55">
        <v>13.245778171663178</v>
      </c>
      <c r="BQ19" s="55">
        <v>12.344960381667388</v>
      </c>
      <c r="BR19" s="55">
        <v>11.379675569731608</v>
      </c>
      <c r="BS19" s="55">
        <v>11.714236564607548</v>
      </c>
      <c r="BT19" s="55">
        <v>8.9098255276334495</v>
      </c>
      <c r="BU19" s="55"/>
      <c r="BV19" s="55">
        <f t="shared" si="44"/>
        <v>-2.4698500420981588</v>
      </c>
      <c r="BW19" s="55">
        <f>'RD T1'!E221</f>
        <v>4.912968490426822</v>
      </c>
      <c r="BX19" s="55">
        <f t="shared" si="45"/>
        <v>2.4431184483286632</v>
      </c>
      <c r="BZ19" t="str">
        <f t="shared" si="46"/>
        <v>41 Administrative occupations</v>
      </c>
      <c r="CA19" s="55">
        <v>6.7219358265731017</v>
      </c>
      <c r="CB19" s="55">
        <v>5.4168361975942174</v>
      </c>
      <c r="CC19" s="55">
        <v>4.9009950763662768</v>
      </c>
      <c r="CD19" s="55">
        <v>3.6417766195033678</v>
      </c>
      <c r="CE19" s="55">
        <v>1.3041893711679875</v>
      </c>
      <c r="CF19" s="55"/>
      <c r="CG19" s="55">
        <f t="shared" si="47"/>
        <v>-3.5968057051982893</v>
      </c>
      <c r="CH19" s="55">
        <f>'RD T1'!E250</f>
        <v>1.1324113542715537</v>
      </c>
      <c r="CI19" s="55">
        <f t="shared" si="48"/>
        <v>-2.4643943509267356</v>
      </c>
      <c r="CK19" t="str">
        <f t="shared" si="49"/>
        <v>41 Administrative occupations</v>
      </c>
      <c r="CL19" s="55">
        <v>2.4604060895733628</v>
      </c>
      <c r="CM19" s="55">
        <v>1.7480548625745518</v>
      </c>
      <c r="CN19" s="55">
        <v>2.0244289830535291</v>
      </c>
      <c r="CO19" s="55">
        <v>1.3931617628140738</v>
      </c>
      <c r="CP19" s="55">
        <v>0.99277260370390097</v>
      </c>
      <c r="CQ19" s="55"/>
      <c r="CR19" s="55">
        <f t="shared" si="50"/>
        <v>-1.0316563793496281</v>
      </c>
      <c r="CS19" s="55">
        <f>'RD T1'!E279</f>
        <v>0.44070305913813612</v>
      </c>
      <c r="CT19" s="55">
        <f t="shared" si="51"/>
        <v>-0.59095332021149194</v>
      </c>
    </row>
    <row r="20" spans="1:98">
      <c r="A20" s="10" t="str">
        <f>name!D16</f>
        <v>42 Secretarial and related occupations</v>
      </c>
      <c r="B20" s="55">
        <v>1.6011380874896924E-2</v>
      </c>
      <c r="C20" s="55">
        <v>1.7538786351069213E-2</v>
      </c>
      <c r="D20" s="55">
        <v>2.0648601889918135E-2</v>
      </c>
      <c r="E20" s="55">
        <v>3.0206784190284462E-2</v>
      </c>
      <c r="F20" s="55">
        <v>4.710554648802992E-2</v>
      </c>
      <c r="G20" s="11"/>
      <c r="H20" s="55">
        <f t="shared" si="26"/>
        <v>2.6456944598111785E-2</v>
      </c>
      <c r="I20" s="55">
        <f>'RD T1'!E48</f>
        <v>2.0147576514149626E-2</v>
      </c>
      <c r="J20" s="55">
        <f t="shared" si="27"/>
        <v>4.6604521112261411E-2</v>
      </c>
      <c r="L20" t="str">
        <f t="shared" si="28"/>
        <v>42 Secretarial and related occupations</v>
      </c>
      <c r="M20" s="55">
        <v>0.33265815111930919</v>
      </c>
      <c r="N20" s="55">
        <v>0.41052479962124783</v>
      </c>
      <c r="O20" s="55">
        <v>0.47265356465006436</v>
      </c>
      <c r="P20" s="55">
        <v>0.60103484482277014</v>
      </c>
      <c r="Q20" s="55">
        <v>0.49203259276245043</v>
      </c>
      <c r="R20" s="11"/>
      <c r="S20" s="55">
        <f t="shared" si="29"/>
        <v>1.9379028112386065E-2</v>
      </c>
      <c r="T20" s="55">
        <f>'RD T1'!E77</f>
        <v>0.30061424218290411</v>
      </c>
      <c r="U20" s="55">
        <f t="shared" si="30"/>
        <v>0.31999327029529018</v>
      </c>
      <c r="W20" t="str">
        <f t="shared" si="31"/>
        <v>42 Secretarial and related occupations</v>
      </c>
      <c r="X20" s="55">
        <v>1.3182841946683523</v>
      </c>
      <c r="Y20" s="55">
        <v>1.1402294109133218</v>
      </c>
      <c r="Z20" s="55">
        <v>1.3728268271190882</v>
      </c>
      <c r="AA20" s="55">
        <v>1.6420950490899289</v>
      </c>
      <c r="AB20" s="55">
        <v>2.0249051859202343</v>
      </c>
      <c r="AC20" s="55"/>
      <c r="AD20" s="55">
        <f t="shared" si="32"/>
        <v>0.65207835880114606</v>
      </c>
      <c r="AE20" s="55">
        <f>'RD T1'!E106</f>
        <v>1.1082484499340386</v>
      </c>
      <c r="AF20" s="55">
        <f t="shared" si="33"/>
        <v>1.7603268087351847</v>
      </c>
      <c r="AH20" t="str">
        <f t="shared" si="34"/>
        <v>42 Secretarial and related occupations</v>
      </c>
      <c r="AI20" s="55">
        <v>0.640294062616108</v>
      </c>
      <c r="AJ20" s="55">
        <v>0.56331652295835133</v>
      </c>
      <c r="AK20" s="55">
        <v>0.70672062399025171</v>
      </c>
      <c r="AL20" s="55">
        <v>0.73535040531087648</v>
      </c>
      <c r="AM20" s="55">
        <v>0.71589519004079505</v>
      </c>
      <c r="AN20" s="55"/>
      <c r="AO20" s="55">
        <f t="shared" si="35"/>
        <v>9.1745660505433424E-3</v>
      </c>
      <c r="AP20" s="55">
        <f>'RD T1'!E135</f>
        <v>0.44746741854728672</v>
      </c>
      <c r="AQ20" s="55">
        <f t="shared" si="36"/>
        <v>0.45664198459783006</v>
      </c>
      <c r="AS20" t="str">
        <f t="shared" si="37"/>
        <v>42 Secretarial and related occupations</v>
      </c>
      <c r="AT20" s="55">
        <v>0.54666442258614178</v>
      </c>
      <c r="AU20" s="55">
        <v>0.4446581812591251</v>
      </c>
      <c r="AV20" s="55">
        <v>0.55548511552801272</v>
      </c>
      <c r="AW20" s="55">
        <v>0.57824309024295018</v>
      </c>
      <c r="AX20" s="55">
        <v>0.59338629507473184</v>
      </c>
      <c r="AY20" s="55"/>
      <c r="AZ20" s="55">
        <f t="shared" si="38"/>
        <v>3.7901179546719121E-2</v>
      </c>
      <c r="BA20" s="55">
        <f>'RD T1'!E164</f>
        <v>0.33287746709956156</v>
      </c>
      <c r="BB20" s="55">
        <f t="shared" si="39"/>
        <v>0.37077864664628069</v>
      </c>
      <c r="BD20" t="str">
        <f t="shared" si="40"/>
        <v>42 Secretarial and related occupations</v>
      </c>
      <c r="BE20" s="55">
        <v>2.0327843821946145</v>
      </c>
      <c r="BF20" s="55">
        <v>1.886034236464462</v>
      </c>
      <c r="BG20" s="55">
        <v>1.7787249574536648</v>
      </c>
      <c r="BH20" s="55">
        <v>1.7290948603522018</v>
      </c>
      <c r="BI20" s="55">
        <v>0.52730052591676513</v>
      </c>
      <c r="BJ20" s="55"/>
      <c r="BK20" s="55">
        <f t="shared" si="41"/>
        <v>-1.2514244315368996</v>
      </c>
      <c r="BL20" s="55">
        <f>'RD T1'!E193</f>
        <v>0.64024197932709992</v>
      </c>
      <c r="BM20" s="55">
        <f t="shared" si="42"/>
        <v>-0.61118245220979972</v>
      </c>
      <c r="BO20" t="str">
        <f t="shared" si="43"/>
        <v>42 Secretarial and related occupations</v>
      </c>
      <c r="BP20" s="55">
        <v>2.9525112115323</v>
      </c>
      <c r="BQ20" s="55">
        <v>2.422531561722125</v>
      </c>
      <c r="BR20" s="55">
        <v>2.0317734352043391</v>
      </c>
      <c r="BS20" s="55">
        <v>1.5175171379952064</v>
      </c>
      <c r="BT20" s="55">
        <v>0.36955281708976262</v>
      </c>
      <c r="BU20" s="55"/>
      <c r="BV20" s="55">
        <f t="shared" si="44"/>
        <v>-1.6622206181145764</v>
      </c>
      <c r="BW20" s="55">
        <f>'RD T1'!E222</f>
        <v>0.54848588386518704</v>
      </c>
      <c r="BX20" s="55">
        <f t="shared" si="45"/>
        <v>-1.1137347342493893</v>
      </c>
      <c r="BZ20" t="str">
        <f t="shared" si="46"/>
        <v>42 Secretarial and related occupations</v>
      </c>
      <c r="CA20" s="55">
        <v>2.3966285270792831</v>
      </c>
      <c r="CB20" s="55">
        <v>2.0397991607890598</v>
      </c>
      <c r="CC20" s="55">
        <v>1.6820682967364342</v>
      </c>
      <c r="CD20" s="55">
        <v>1.2188441266396224</v>
      </c>
      <c r="CE20" s="55">
        <v>0.2307788221279865</v>
      </c>
      <c r="CF20" s="55"/>
      <c r="CG20" s="55">
        <f t="shared" si="47"/>
        <v>-1.4512894746084477</v>
      </c>
      <c r="CH20" s="55">
        <f>'RD T1'!E251</f>
        <v>0.39158883694984242</v>
      </c>
      <c r="CI20" s="55">
        <f t="shared" si="48"/>
        <v>-1.0597006376586053</v>
      </c>
      <c r="CK20" t="str">
        <f t="shared" si="49"/>
        <v>42 Secretarial and related occupations</v>
      </c>
      <c r="CL20" s="55">
        <v>0.76371694653474531</v>
      </c>
      <c r="CM20" s="55">
        <v>0.57023040892136212</v>
      </c>
      <c r="CN20" s="55">
        <v>0.65943185089343614</v>
      </c>
      <c r="CO20" s="55">
        <v>0.51596323690471935</v>
      </c>
      <c r="CP20" s="55">
        <v>0.40650727936597925</v>
      </c>
      <c r="CQ20" s="55"/>
      <c r="CR20" s="55">
        <f t="shared" si="50"/>
        <v>-0.2529245715274569</v>
      </c>
      <c r="CS20" s="55">
        <f>'RD T1'!E280</f>
        <v>0.20612775534541428</v>
      </c>
      <c r="CT20" s="55">
        <f t="shared" si="51"/>
        <v>-4.6796816182042622E-2</v>
      </c>
    </row>
    <row r="21" spans="1:98">
      <c r="A21" s="10" t="str">
        <f>name!D17</f>
        <v>51 Skilled agricultural and related trades</v>
      </c>
      <c r="B21" s="55">
        <v>6.4373572753208021E-3</v>
      </c>
      <c r="C21" s="55">
        <v>8.5766930390563309E-3</v>
      </c>
      <c r="D21" s="55">
        <v>6.4874057331890146E-3</v>
      </c>
      <c r="E21" s="55">
        <v>8.0971128274437507E-3</v>
      </c>
      <c r="F21" s="55">
        <v>1.572014713133163E-2</v>
      </c>
      <c r="G21" s="11"/>
      <c r="H21" s="55">
        <f t="shared" si="26"/>
        <v>9.2327413981426153E-3</v>
      </c>
      <c r="I21" s="55">
        <f>'RD T1'!E49</f>
        <v>6.3409754340996221E-3</v>
      </c>
      <c r="J21" s="55">
        <f t="shared" si="27"/>
        <v>1.5573716832242238E-2</v>
      </c>
      <c r="L21" t="str">
        <f t="shared" si="28"/>
        <v>51 Skilled agricultural and related trades</v>
      </c>
      <c r="M21" s="55">
        <v>6.0049366594989495E-2</v>
      </c>
      <c r="N21" s="55">
        <v>6.0448766575649453E-2</v>
      </c>
      <c r="O21" s="55">
        <v>5.1388624470621397E-2</v>
      </c>
      <c r="P21" s="55">
        <v>6.0824414549783615E-2</v>
      </c>
      <c r="Q21" s="55">
        <v>8.2434257852241843E-2</v>
      </c>
      <c r="R21" s="11"/>
      <c r="S21" s="55">
        <f t="shared" si="29"/>
        <v>3.1045633381620447E-2</v>
      </c>
      <c r="T21" s="55">
        <f>'RD T1'!E78</f>
        <v>3.5089836438961658E-2</v>
      </c>
      <c r="U21" s="55">
        <f t="shared" si="30"/>
        <v>6.6135469820582105E-2</v>
      </c>
      <c r="W21" t="str">
        <f t="shared" si="31"/>
        <v>51 Skilled agricultural and related trades</v>
      </c>
      <c r="X21" s="55">
        <v>0.50143495329953036</v>
      </c>
      <c r="Y21" s="55">
        <v>0.37215794816625131</v>
      </c>
      <c r="Z21" s="55">
        <v>0.34538868902250341</v>
      </c>
      <c r="AA21" s="55">
        <v>0.38192889412666664</v>
      </c>
      <c r="AB21" s="55">
        <v>0.51289022932313466</v>
      </c>
      <c r="AC21" s="55"/>
      <c r="AD21" s="55">
        <f t="shared" si="32"/>
        <v>0.16750154030063125</v>
      </c>
      <c r="AE21" s="55">
        <f>'RD T1'!E107</f>
        <v>0.284397615231885</v>
      </c>
      <c r="AF21" s="55">
        <f t="shared" si="33"/>
        <v>0.45189915553251625</v>
      </c>
      <c r="AH21" t="str">
        <f t="shared" si="34"/>
        <v>51 Skilled agricultural and related trades</v>
      </c>
      <c r="AI21" s="55">
        <v>0.18100464711007885</v>
      </c>
      <c r="AJ21" s="55">
        <v>0.15820674700494228</v>
      </c>
      <c r="AK21" s="55">
        <v>0.13700200541335261</v>
      </c>
      <c r="AL21" s="55">
        <v>0.15924960006524169</v>
      </c>
      <c r="AM21" s="55">
        <v>0.21410150036730022</v>
      </c>
      <c r="AN21" s="55"/>
      <c r="AO21" s="55">
        <f t="shared" si="35"/>
        <v>7.7099494953947606E-2</v>
      </c>
      <c r="AP21" s="55">
        <f>'RD T1'!E136</f>
        <v>0.12240315043702536</v>
      </c>
      <c r="AQ21" s="55">
        <f t="shared" si="36"/>
        <v>0.19950264539097295</v>
      </c>
      <c r="AS21" t="str">
        <f t="shared" si="37"/>
        <v>51 Skilled agricultural and related trades</v>
      </c>
      <c r="AT21" s="55">
        <v>0.35433668543330554</v>
      </c>
      <c r="AU21" s="55">
        <v>0.30817900586924019</v>
      </c>
      <c r="AV21" s="55">
        <v>0.27409151494287032</v>
      </c>
      <c r="AW21" s="55">
        <v>0.30985643990919798</v>
      </c>
      <c r="AX21" s="55">
        <v>0.46477818039310625</v>
      </c>
      <c r="AY21" s="55"/>
      <c r="AZ21" s="55">
        <f t="shared" si="38"/>
        <v>0.19068666545023594</v>
      </c>
      <c r="BA21" s="55">
        <f>'RD T1'!E165</f>
        <v>0.22113316916484793</v>
      </c>
      <c r="BB21" s="55">
        <f t="shared" si="39"/>
        <v>0.41181983461508387</v>
      </c>
      <c r="BD21" t="str">
        <f t="shared" si="40"/>
        <v>51 Skilled agricultural and related trades</v>
      </c>
      <c r="BE21" s="55">
        <v>0.57116715584792188</v>
      </c>
      <c r="BF21" s="55">
        <v>0.55530187204954051</v>
      </c>
      <c r="BG21" s="55">
        <v>0.42892089512295456</v>
      </c>
      <c r="BH21" s="55">
        <v>0.43728902798289937</v>
      </c>
      <c r="BI21" s="55">
        <v>0.48508317450502386</v>
      </c>
      <c r="BJ21" s="55"/>
      <c r="BK21" s="55">
        <f t="shared" si="41"/>
        <v>5.6162279382069302E-2</v>
      </c>
      <c r="BL21" s="55">
        <f>'RD T1'!E194</f>
        <v>0.23537274147863266</v>
      </c>
      <c r="BM21" s="55">
        <f t="shared" si="42"/>
        <v>0.29153502086070193</v>
      </c>
      <c r="BO21" t="str">
        <f t="shared" si="43"/>
        <v>51 Skilled agricultural and related trades</v>
      </c>
      <c r="BP21" s="55">
        <v>1.0853020846207411</v>
      </c>
      <c r="BQ21" s="55">
        <v>1.0227847776936385</v>
      </c>
      <c r="BR21" s="55">
        <v>0.76508482743752015</v>
      </c>
      <c r="BS21" s="55">
        <v>0.7697820387534291</v>
      </c>
      <c r="BT21" s="55">
        <v>0.72362573499846994</v>
      </c>
      <c r="BU21" s="55"/>
      <c r="BV21" s="55">
        <f t="shared" si="44"/>
        <v>-4.1459092439050216E-2</v>
      </c>
      <c r="BW21" s="55">
        <f>'RD T1'!E223</f>
        <v>0.42491520909017838</v>
      </c>
      <c r="BX21" s="55">
        <f t="shared" si="45"/>
        <v>0.38345611665112816</v>
      </c>
      <c r="BZ21" t="str">
        <f t="shared" si="46"/>
        <v>51 Skilled agricultural and related trades</v>
      </c>
      <c r="CA21" s="55">
        <v>0.83416805664795668</v>
      </c>
      <c r="CB21" s="55">
        <v>0.7216675546782072</v>
      </c>
      <c r="CC21" s="55">
        <v>0.71514612342379791</v>
      </c>
      <c r="CD21" s="55">
        <v>0.68182854236480672</v>
      </c>
      <c r="CE21" s="55">
        <v>0.80335150336114003</v>
      </c>
      <c r="CF21" s="55"/>
      <c r="CG21" s="55">
        <f t="shared" si="47"/>
        <v>8.8205379937342121E-2</v>
      </c>
      <c r="CH21" s="55">
        <f>'RD T1'!E252</f>
        <v>0.3364882880601644</v>
      </c>
      <c r="CI21" s="55">
        <f t="shared" si="48"/>
        <v>0.42469366799750652</v>
      </c>
      <c r="CK21" t="str">
        <f t="shared" si="49"/>
        <v>51 Skilled agricultural and related trades</v>
      </c>
      <c r="CL21" s="55">
        <v>0.73741558389356399</v>
      </c>
      <c r="CM21" s="55">
        <v>0.59926791090744735</v>
      </c>
      <c r="CN21" s="55">
        <v>0.46963499929906038</v>
      </c>
      <c r="CO21" s="55">
        <v>0.36947420965322408</v>
      </c>
      <c r="CP21" s="55">
        <v>0.2330324223352068</v>
      </c>
      <c r="CQ21" s="55"/>
      <c r="CR21" s="55">
        <f t="shared" si="50"/>
        <v>-0.23660257696385359</v>
      </c>
      <c r="CS21" s="55">
        <f>'RD T1'!E281</f>
        <v>0.12891802698492949</v>
      </c>
      <c r="CT21" s="55">
        <f t="shared" si="51"/>
        <v>-0.1076845499789241</v>
      </c>
    </row>
    <row r="22" spans="1:98">
      <c r="A22" s="10" t="str">
        <f>name!D18</f>
        <v>52 Skilled metal, electrical and electronic trades</v>
      </c>
      <c r="B22" s="55">
        <v>1.7564368201697496E-2</v>
      </c>
      <c r="C22" s="55">
        <v>1.5367076663070555E-2</v>
      </c>
      <c r="D22" s="55">
        <v>1.1464323518649107E-2</v>
      </c>
      <c r="E22" s="55">
        <v>1.428017202789475E-2</v>
      </c>
      <c r="F22" s="55">
        <v>2.070960367488189E-2</v>
      </c>
      <c r="G22" s="11"/>
      <c r="H22" s="55">
        <f t="shared" si="26"/>
        <v>9.2452801562327835E-3</v>
      </c>
      <c r="I22" s="55">
        <f>'RD T1'!E50</f>
        <v>6.5510052622770026E-3</v>
      </c>
      <c r="J22" s="55">
        <f t="shared" si="27"/>
        <v>1.5796285418509786E-2</v>
      </c>
      <c r="L22" t="str">
        <f t="shared" si="28"/>
        <v>52 Skilled metal, electrical and electronic trades</v>
      </c>
      <c r="M22" s="55">
        <v>0.40513915141708651</v>
      </c>
      <c r="N22" s="55">
        <v>0.51512517624510634</v>
      </c>
      <c r="O22" s="55">
        <v>0.34914786357303379</v>
      </c>
      <c r="P22" s="55">
        <v>0.54939088622029497</v>
      </c>
      <c r="Q22" s="55">
        <v>0.88739307677282209</v>
      </c>
      <c r="R22" s="11"/>
      <c r="S22" s="55">
        <f t="shared" si="29"/>
        <v>0.53824521319978835</v>
      </c>
      <c r="T22" s="55">
        <f>'RD T1'!E79</f>
        <v>0.2873214448812586</v>
      </c>
      <c r="U22" s="55">
        <f t="shared" si="30"/>
        <v>0.82556665808104701</v>
      </c>
      <c r="W22" t="str">
        <f t="shared" si="31"/>
        <v>52 Skilled metal, electrical and electronic trades</v>
      </c>
      <c r="X22" s="55">
        <v>1.3143035673023389</v>
      </c>
      <c r="Y22" s="55">
        <v>1.2206777558925137</v>
      </c>
      <c r="Z22" s="55">
        <v>0.95692385548505654</v>
      </c>
      <c r="AA22" s="55">
        <v>1.1316197263053875</v>
      </c>
      <c r="AB22" s="55">
        <v>1.3678272250516175</v>
      </c>
      <c r="AC22" s="55"/>
      <c r="AD22" s="55">
        <f t="shared" si="32"/>
        <v>0.41090336956656093</v>
      </c>
      <c r="AE22" s="55">
        <f>'RD T1'!E108</f>
        <v>0.57455591573930986</v>
      </c>
      <c r="AF22" s="55">
        <f t="shared" si="33"/>
        <v>0.98545928530587079</v>
      </c>
      <c r="AH22" t="str">
        <f t="shared" si="34"/>
        <v>52 Skilled metal, electrical and electronic trades</v>
      </c>
      <c r="AI22" s="55">
        <v>0.50783586296820971</v>
      </c>
      <c r="AJ22" s="55">
        <v>0.44814052294888634</v>
      </c>
      <c r="AK22" s="55">
        <v>0.37271386732364625</v>
      </c>
      <c r="AL22" s="55">
        <v>0.40830171259085291</v>
      </c>
      <c r="AM22" s="55">
        <v>0.49183097322311375</v>
      </c>
      <c r="AN22" s="55"/>
      <c r="AO22" s="55">
        <f t="shared" si="35"/>
        <v>0.1191171058994675</v>
      </c>
      <c r="AP22" s="55">
        <f>'RD T1'!E137</f>
        <v>0.18510255985581367</v>
      </c>
      <c r="AQ22" s="55">
        <f t="shared" si="36"/>
        <v>0.30421966575528114</v>
      </c>
      <c r="AS22" t="str">
        <f t="shared" si="37"/>
        <v>52 Skilled metal, electrical and electronic trades</v>
      </c>
      <c r="AT22" s="55">
        <v>2.3455198478066719</v>
      </c>
      <c r="AU22" s="55">
        <v>2.0764882654130266</v>
      </c>
      <c r="AV22" s="55">
        <v>1.7895018474807844</v>
      </c>
      <c r="AW22" s="55">
        <v>1.8468542976723226</v>
      </c>
      <c r="AX22" s="55">
        <v>2.0330796559656514</v>
      </c>
      <c r="AY22" s="55"/>
      <c r="AZ22" s="55">
        <f t="shared" si="38"/>
        <v>0.24357780848486699</v>
      </c>
      <c r="BA22" s="55">
        <f>'RD T1'!E166</f>
        <v>0.81702595460087923</v>
      </c>
      <c r="BB22" s="55">
        <f t="shared" si="39"/>
        <v>1.0606037630857461</v>
      </c>
      <c r="BD22" t="str">
        <f t="shared" si="40"/>
        <v>52 Skilled metal, electrical and electronic trades</v>
      </c>
      <c r="BE22" s="55">
        <v>11.118161405746635</v>
      </c>
      <c r="BF22" s="55">
        <v>11.864592535065452</v>
      </c>
      <c r="BG22" s="55">
        <v>9.8300659100997692</v>
      </c>
      <c r="BH22" s="55">
        <v>9.8503371763261764</v>
      </c>
      <c r="BI22" s="55">
        <v>9.471497820139442</v>
      </c>
      <c r="BJ22" s="55"/>
      <c r="BK22" s="55">
        <f t="shared" si="41"/>
        <v>-0.35856808996032719</v>
      </c>
      <c r="BL22" s="55">
        <f>'RD T1'!E195</f>
        <v>3.3996014634412308</v>
      </c>
      <c r="BM22" s="55">
        <f t="shared" si="42"/>
        <v>3.0410333734809036</v>
      </c>
      <c r="BO22" t="str">
        <f t="shared" si="43"/>
        <v>52 Skilled metal, electrical and electronic trades</v>
      </c>
      <c r="BP22" s="55">
        <v>7.0116454827496559</v>
      </c>
      <c r="BQ22" s="55">
        <v>7.1351602011840276</v>
      </c>
      <c r="BR22" s="55">
        <v>5.6803137930496961</v>
      </c>
      <c r="BS22" s="55">
        <v>5.7353319223337564</v>
      </c>
      <c r="BT22" s="55">
        <v>4.912081672506333</v>
      </c>
      <c r="BU22" s="55"/>
      <c r="BV22" s="55">
        <f t="shared" si="44"/>
        <v>-0.7682321205433631</v>
      </c>
      <c r="BW22" s="55">
        <f>'RD T1'!E224</f>
        <v>2.0698358394472107</v>
      </c>
      <c r="BX22" s="55">
        <f t="shared" si="45"/>
        <v>1.3016037189038476</v>
      </c>
      <c r="BZ22" t="str">
        <f t="shared" si="46"/>
        <v>52 Skilled metal, electrical and electronic trades</v>
      </c>
      <c r="CA22" s="55">
        <v>3.6894510440718147</v>
      </c>
      <c r="CB22" s="55">
        <v>3.2252013322447621</v>
      </c>
      <c r="CC22" s="55">
        <v>2.8024218417015874</v>
      </c>
      <c r="CD22" s="55">
        <v>2.2675817566104017</v>
      </c>
      <c r="CE22" s="55">
        <v>1.2002888254006703</v>
      </c>
      <c r="CF22" s="55"/>
      <c r="CG22" s="55">
        <f t="shared" si="47"/>
        <v>-1.6021330163009171</v>
      </c>
      <c r="CH22" s="55">
        <f>'RD T1'!E253</f>
        <v>0.69027253715280945</v>
      </c>
      <c r="CI22" s="55">
        <f t="shared" si="48"/>
        <v>-0.91186047914810764</v>
      </c>
      <c r="CK22" t="str">
        <f t="shared" si="49"/>
        <v>52 Skilled metal, electrical and electronic trades</v>
      </c>
      <c r="CL22" s="55">
        <v>2.2130571066553539</v>
      </c>
      <c r="CM22" s="55">
        <v>1.8428843212041928</v>
      </c>
      <c r="CN22" s="55">
        <v>1.444272980015455</v>
      </c>
      <c r="CO22" s="55">
        <v>0.82025065136466158</v>
      </c>
      <c r="CP22" s="55">
        <v>0.4564254894928943</v>
      </c>
      <c r="CQ22" s="55"/>
      <c r="CR22" s="55">
        <f t="shared" si="50"/>
        <v>-0.98784749052256071</v>
      </c>
      <c r="CS22" s="55">
        <f>'RD T1'!E282</f>
        <v>0.25872450442454226</v>
      </c>
      <c r="CT22" s="55">
        <f t="shared" si="51"/>
        <v>-0.7291229860980184</v>
      </c>
    </row>
    <row r="23" spans="1:98">
      <c r="A23" s="10" t="str">
        <f>name!D19</f>
        <v>53 Skilled construction and building trades</v>
      </c>
      <c r="B23" s="55">
        <v>6.7342071858064604E-3</v>
      </c>
      <c r="C23" s="55">
        <v>5.7092123051908856E-3</v>
      </c>
      <c r="D23" s="55">
        <v>3.5356937275610512E-3</v>
      </c>
      <c r="E23" s="55">
        <v>4.9356410262730013E-3</v>
      </c>
      <c r="F23" s="55">
        <v>5.1183749533666098E-3</v>
      </c>
      <c r="G23" s="11"/>
      <c r="H23" s="55">
        <f t="shared" si="26"/>
        <v>1.5826812258055586E-3</v>
      </c>
      <c r="I23" s="55">
        <f>'RD T1'!E51</f>
        <v>1.9416398422667657E-3</v>
      </c>
      <c r="J23" s="55">
        <f t="shared" si="27"/>
        <v>3.5243210680723242E-3</v>
      </c>
      <c r="L23" t="str">
        <f t="shared" si="28"/>
        <v>53 Skilled construction and building trades</v>
      </c>
      <c r="M23" s="55">
        <v>0.15899770229418148</v>
      </c>
      <c r="N23" s="55">
        <v>0.19809568834416022</v>
      </c>
      <c r="O23" s="55">
        <v>0.14059944724793219</v>
      </c>
      <c r="P23" s="55">
        <v>0.19093888003571718</v>
      </c>
      <c r="Q23" s="55">
        <v>0.27226960095809533</v>
      </c>
      <c r="R23" s="11"/>
      <c r="S23" s="55">
        <f t="shared" si="29"/>
        <v>0.13167015371016313</v>
      </c>
      <c r="T23" s="55">
        <f>'RD T1'!E80</f>
        <v>9.4898402814163743E-2</v>
      </c>
      <c r="U23" s="55">
        <f t="shared" si="30"/>
        <v>0.22656855652432689</v>
      </c>
      <c r="W23" t="str">
        <f t="shared" si="31"/>
        <v>53 Skilled construction and building trades</v>
      </c>
      <c r="X23" s="55">
        <v>0.6566621462471337</v>
      </c>
      <c r="Y23" s="55">
        <v>0.6001115502093729</v>
      </c>
      <c r="Z23" s="55">
        <v>0.4832356462723717</v>
      </c>
      <c r="AA23" s="55">
        <v>0.55354204448262534</v>
      </c>
      <c r="AB23" s="55">
        <v>0.61046135803375567</v>
      </c>
      <c r="AC23" s="55"/>
      <c r="AD23" s="55">
        <f t="shared" si="32"/>
        <v>0.12722571176138397</v>
      </c>
      <c r="AE23" s="55">
        <f>'RD T1'!E109</f>
        <v>0.28024603997290937</v>
      </c>
      <c r="AF23" s="55">
        <f t="shared" si="33"/>
        <v>0.40747175173429334</v>
      </c>
      <c r="AH23" t="str">
        <f t="shared" si="34"/>
        <v>53 Skilled construction and building trades</v>
      </c>
      <c r="AI23" s="55">
        <v>0.39029949541675057</v>
      </c>
      <c r="AJ23" s="55">
        <v>0.41947807012202021</v>
      </c>
      <c r="AK23" s="55">
        <v>0.36860761709271006</v>
      </c>
      <c r="AL23" s="55">
        <v>0.4233298783107361</v>
      </c>
      <c r="AM23" s="55">
        <v>0.48625893071102161</v>
      </c>
      <c r="AN23" s="55"/>
      <c r="AO23" s="55">
        <f t="shared" si="35"/>
        <v>0.11765131361831155</v>
      </c>
      <c r="AP23" s="55">
        <f>'RD T1'!E138</f>
        <v>0.23154413736605528</v>
      </c>
      <c r="AQ23" s="55">
        <f t="shared" si="36"/>
        <v>0.34919545098436683</v>
      </c>
      <c r="AS23" t="str">
        <f t="shared" si="37"/>
        <v>53 Skilled construction and building trades</v>
      </c>
      <c r="AT23" s="55">
        <v>0.56146256442753262</v>
      </c>
      <c r="AU23" s="55">
        <v>0.62048946618272194</v>
      </c>
      <c r="AV23" s="55">
        <v>0.53358704843977633</v>
      </c>
      <c r="AW23" s="55">
        <v>0.59614963485420103</v>
      </c>
      <c r="AX23" s="55">
        <v>0.61209229997091263</v>
      </c>
      <c r="AY23" s="55"/>
      <c r="AZ23" s="55">
        <f t="shared" si="38"/>
        <v>7.85052515311363E-2</v>
      </c>
      <c r="BA23" s="55">
        <f>'RD T1'!E167</f>
        <v>0.29680826063665228</v>
      </c>
      <c r="BB23" s="55">
        <f t="shared" si="39"/>
        <v>0.37531351216778858</v>
      </c>
      <c r="BD23" t="str">
        <f t="shared" si="40"/>
        <v>53 Skilled construction and building trades</v>
      </c>
      <c r="BE23" s="55">
        <v>5.843626847259201</v>
      </c>
      <c r="BF23" s="55">
        <v>6.8925446863192494</v>
      </c>
      <c r="BG23" s="55">
        <v>5.6734510206812061</v>
      </c>
      <c r="BH23" s="55">
        <v>5.6242083951505029</v>
      </c>
      <c r="BI23" s="55">
        <v>4.9652544046416445</v>
      </c>
      <c r="BJ23" s="55"/>
      <c r="BK23" s="55">
        <f t="shared" si="41"/>
        <v>-0.70819661603956163</v>
      </c>
      <c r="BL23" s="55">
        <f>'RD T1'!E196</f>
        <v>2.0687667621130728</v>
      </c>
      <c r="BM23" s="55">
        <f t="shared" si="42"/>
        <v>1.3605701460735111</v>
      </c>
      <c r="BO23" t="str">
        <f t="shared" si="43"/>
        <v>53 Skilled construction and building trades</v>
      </c>
      <c r="BP23" s="55">
        <v>5.5801011449246349</v>
      </c>
      <c r="BQ23" s="55">
        <v>7.0630385101534783</v>
      </c>
      <c r="BR23" s="55">
        <v>5.5984203141260878</v>
      </c>
      <c r="BS23" s="55">
        <v>6.1540276835715852</v>
      </c>
      <c r="BT23" s="55">
        <v>5.7182742401770454</v>
      </c>
      <c r="BU23" s="55"/>
      <c r="BV23" s="55">
        <f t="shared" si="44"/>
        <v>0.11985392605095768</v>
      </c>
      <c r="BW23" s="55">
        <f>'RD T1'!E225</f>
        <v>2.7455715251184549</v>
      </c>
      <c r="BX23" s="55">
        <f t="shared" si="45"/>
        <v>2.8654254511694126</v>
      </c>
      <c r="BZ23" t="str">
        <f t="shared" si="46"/>
        <v>53 Skilled construction and building trades</v>
      </c>
      <c r="CA23" s="55">
        <v>3.0904376169304544</v>
      </c>
      <c r="CB23" s="55">
        <v>3.087924934921578</v>
      </c>
      <c r="CC23" s="55">
        <v>2.6774607516522253</v>
      </c>
      <c r="CD23" s="55">
        <v>2.266481233449726</v>
      </c>
      <c r="CE23" s="55">
        <v>1.5518542013653056</v>
      </c>
      <c r="CF23" s="55"/>
      <c r="CG23" s="55">
        <f t="shared" si="47"/>
        <v>-1.1256065502869197</v>
      </c>
      <c r="CH23" s="55">
        <f>'RD T1'!E254</f>
        <v>0.81640043696985498</v>
      </c>
      <c r="CI23" s="55">
        <f t="shared" si="48"/>
        <v>-0.30920611331706471</v>
      </c>
      <c r="CK23" t="str">
        <f t="shared" si="49"/>
        <v>53 Skilled construction and building trades</v>
      </c>
      <c r="CL23" s="55">
        <v>2.3873088441752195</v>
      </c>
      <c r="CM23" s="55">
        <v>2.452164839475675</v>
      </c>
      <c r="CN23" s="55">
        <v>1.9945758633782662</v>
      </c>
      <c r="CO23" s="55">
        <v>0.99955712344789704</v>
      </c>
      <c r="CP23" s="55">
        <v>0.17999781673767709</v>
      </c>
      <c r="CQ23" s="55"/>
      <c r="CR23" s="55">
        <f t="shared" si="50"/>
        <v>-1.8145780466405892</v>
      </c>
      <c r="CS23" s="55">
        <f>'RD T1'!E283</f>
        <v>0.23953242733313707</v>
      </c>
      <c r="CT23" s="55">
        <f t="shared" si="51"/>
        <v>-1.5750456193074522</v>
      </c>
    </row>
    <row r="24" spans="1:98">
      <c r="A24" s="10" t="str">
        <f>name!D20</f>
        <v>54 Textiles, printing and other skilled trades</v>
      </c>
      <c r="B24" s="55">
        <v>3.5008807529354861E-2</v>
      </c>
      <c r="C24" s="55">
        <v>3.5188716921286362E-2</v>
      </c>
      <c r="D24" s="55">
        <v>3.0993165750762212E-2</v>
      </c>
      <c r="E24" s="55">
        <v>4.2707277077266147E-2</v>
      </c>
      <c r="F24" s="55">
        <v>5.5661268949444703E-2</v>
      </c>
      <c r="G24" s="11"/>
      <c r="H24" s="55">
        <f t="shared" si="26"/>
        <v>2.4668103198682491E-2</v>
      </c>
      <c r="I24" s="55">
        <f>'RD T1'!E52</f>
        <v>2.1073199892913567E-2</v>
      </c>
      <c r="J24" s="55">
        <f t="shared" si="27"/>
        <v>4.5741303091596061E-2</v>
      </c>
      <c r="L24" t="str">
        <f t="shared" si="28"/>
        <v>54 Textiles, printing and other skilled trades</v>
      </c>
      <c r="M24" s="55">
        <v>0.22141870909884462</v>
      </c>
      <c r="N24" s="55">
        <v>0.28268853228540725</v>
      </c>
      <c r="O24" s="55">
        <v>0.29977725198786687</v>
      </c>
      <c r="P24" s="55">
        <v>0.39010206914416062</v>
      </c>
      <c r="Q24" s="55">
        <v>0.61532062818748856</v>
      </c>
      <c r="R24" s="11"/>
      <c r="S24" s="55">
        <f t="shared" si="29"/>
        <v>0.31554337619962169</v>
      </c>
      <c r="T24" s="55">
        <f>'RD T1'!E81</f>
        <v>0.23629289617448163</v>
      </c>
      <c r="U24" s="55">
        <f t="shared" si="30"/>
        <v>0.55183627237410326</v>
      </c>
      <c r="W24" t="str">
        <f t="shared" si="31"/>
        <v>54 Textiles, printing and other skilled trades</v>
      </c>
      <c r="X24" s="55">
        <v>0.69250870517751617</v>
      </c>
      <c r="Y24" s="55">
        <v>0.58442840984798183</v>
      </c>
      <c r="Z24" s="55">
        <v>0.64773474534466513</v>
      </c>
      <c r="AA24" s="55">
        <v>0.78440206882627406</v>
      </c>
      <c r="AB24" s="55">
        <v>0.98742588664652065</v>
      </c>
      <c r="AC24" s="55"/>
      <c r="AD24" s="55">
        <f t="shared" si="32"/>
        <v>0.33969114130185551</v>
      </c>
      <c r="AE24" s="55">
        <f>'RD T1'!E110</f>
        <v>0.46847337473268869</v>
      </c>
      <c r="AF24" s="55">
        <f t="shared" si="33"/>
        <v>0.8081645160345442</v>
      </c>
      <c r="AH24" t="str">
        <f t="shared" si="34"/>
        <v>54 Textiles, printing and other skilled trades</v>
      </c>
      <c r="AI24" s="55">
        <v>0.27083361720052401</v>
      </c>
      <c r="AJ24" s="55">
        <v>0.21095247872492595</v>
      </c>
      <c r="AK24" s="55">
        <v>0.25854393497278039</v>
      </c>
      <c r="AL24" s="55">
        <v>0.27102868999642943</v>
      </c>
      <c r="AM24" s="55">
        <v>0.32379238943069005</v>
      </c>
      <c r="AN24" s="55"/>
      <c r="AO24" s="55">
        <f t="shared" si="35"/>
        <v>6.5248454457909666E-2</v>
      </c>
      <c r="AP24" s="55">
        <f>'RD T1'!E139</f>
        <v>0.16688582235056312</v>
      </c>
      <c r="AQ24" s="55">
        <f t="shared" si="36"/>
        <v>0.23213427680847279</v>
      </c>
      <c r="AS24" t="str">
        <f t="shared" si="37"/>
        <v>54 Textiles, printing and other skilled trades</v>
      </c>
      <c r="AT24" s="55">
        <v>0.31662507612971608</v>
      </c>
      <c r="AU24" s="55">
        <v>0.2486486073543917</v>
      </c>
      <c r="AV24" s="55">
        <v>0.28979790364263391</v>
      </c>
      <c r="AW24" s="55">
        <v>0.31955840626068993</v>
      </c>
      <c r="AX24" s="55">
        <v>0.37459648726149575</v>
      </c>
      <c r="AY24" s="55"/>
      <c r="AZ24" s="55">
        <f t="shared" si="38"/>
        <v>8.4798583618861834E-2</v>
      </c>
      <c r="BA24" s="55">
        <f>'RD T1'!E168</f>
        <v>0.17915709436709035</v>
      </c>
      <c r="BB24" s="55">
        <f t="shared" si="39"/>
        <v>0.26395567798595221</v>
      </c>
      <c r="BD24" t="str">
        <f t="shared" si="40"/>
        <v>54 Textiles, printing and other skilled trades</v>
      </c>
      <c r="BE24" s="55">
        <v>2.1577913751341131</v>
      </c>
      <c r="BF24" s="55">
        <v>2.1359450150858659</v>
      </c>
      <c r="BG24" s="55">
        <v>2.0041714890091522</v>
      </c>
      <c r="BH24" s="55">
        <v>2.3441015961797316</v>
      </c>
      <c r="BI24" s="55">
        <v>2.3964957914005085</v>
      </c>
      <c r="BJ24" s="55"/>
      <c r="BK24" s="55">
        <f t="shared" si="41"/>
        <v>0.39232430239135629</v>
      </c>
      <c r="BL24" s="55">
        <f>'RD T1'!E197</f>
        <v>0.92054026540790956</v>
      </c>
      <c r="BM24" s="55">
        <f t="shared" si="42"/>
        <v>1.3128645677992659</v>
      </c>
      <c r="BO24" t="str">
        <f t="shared" si="43"/>
        <v>54 Textiles, printing and other skilled trades</v>
      </c>
      <c r="BP24" s="55">
        <v>2.5057509786763044</v>
      </c>
      <c r="BQ24" s="55">
        <v>2.2131964539764399</v>
      </c>
      <c r="BR24" s="55">
        <v>2.0514040727666725</v>
      </c>
      <c r="BS24" s="55">
        <v>2.1391960594874591</v>
      </c>
      <c r="BT24" s="55">
        <v>1.9222140565401631</v>
      </c>
      <c r="BU24" s="55"/>
      <c r="BV24" s="55">
        <f t="shared" si="44"/>
        <v>-0.12919001622650939</v>
      </c>
      <c r="BW24" s="55">
        <f>'RD T1'!E226</f>
        <v>0.83028304009313447</v>
      </c>
      <c r="BX24" s="55">
        <f t="shared" si="45"/>
        <v>0.70109302386662509</v>
      </c>
      <c r="BZ24" t="str">
        <f t="shared" si="46"/>
        <v>54 Textiles, printing and other skilled trades</v>
      </c>
      <c r="CA24" s="55">
        <v>1.9862887305788941</v>
      </c>
      <c r="CB24" s="55">
        <v>1.6325914688015128</v>
      </c>
      <c r="CC24" s="55">
        <v>1.5800721221504035</v>
      </c>
      <c r="CD24" s="55">
        <v>1.4697108240776402</v>
      </c>
      <c r="CE24" s="55">
        <v>0.88822338519341559</v>
      </c>
      <c r="CF24" s="55"/>
      <c r="CG24" s="55">
        <f t="shared" si="47"/>
        <v>-0.6918487369569879</v>
      </c>
      <c r="CH24" s="55">
        <f>'RD T1'!E255</f>
        <v>0.47416734491117546</v>
      </c>
      <c r="CI24" s="55">
        <f t="shared" si="48"/>
        <v>-0.21768139204581244</v>
      </c>
      <c r="CK24" t="str">
        <f t="shared" si="49"/>
        <v>54 Textiles, printing and other skilled trades</v>
      </c>
      <c r="CL24" s="55">
        <v>1.4828774989012767</v>
      </c>
      <c r="CM24" s="55">
        <v>1.1024655937923724</v>
      </c>
      <c r="CN24" s="55">
        <v>1.1669076436963572</v>
      </c>
      <c r="CO24" s="55">
        <v>0.65782371002315054</v>
      </c>
      <c r="CP24" s="55">
        <v>0.4214611141006453</v>
      </c>
      <c r="CQ24" s="55"/>
      <c r="CR24" s="55">
        <f t="shared" si="50"/>
        <v>-0.745446529595712</v>
      </c>
      <c r="CS24" s="55">
        <f>'RD T1'!E284</f>
        <v>0.20499360045299536</v>
      </c>
      <c r="CT24" s="55">
        <f t="shared" si="51"/>
        <v>-0.5404529291427167</v>
      </c>
    </row>
    <row r="25" spans="1:98">
      <c r="A25" s="10" t="str">
        <f>name!D21</f>
        <v>61 Caring personal service occupations</v>
      </c>
      <c r="B25" s="55">
        <v>1.9479603654728134E-2</v>
      </c>
      <c r="C25" s="55">
        <v>2.7481363419311851E-2</v>
      </c>
      <c r="D25" s="55">
        <v>2.7400915804108666E-2</v>
      </c>
      <c r="E25" s="55">
        <v>3.7660031805455726E-2</v>
      </c>
      <c r="F25" s="55">
        <v>6.7065464722826443E-2</v>
      </c>
      <c r="G25" s="11"/>
      <c r="H25" s="55">
        <f t="shared" si="26"/>
        <v>3.9664548918717776E-2</v>
      </c>
      <c r="I25" s="55">
        <f>'RD T1'!E53</f>
        <v>2.3928765106065175E-2</v>
      </c>
      <c r="J25" s="55">
        <f t="shared" si="27"/>
        <v>6.3593314024782951E-2</v>
      </c>
      <c r="L25" t="str">
        <f t="shared" si="28"/>
        <v>61 Caring personal service occupations</v>
      </c>
      <c r="M25" s="55">
        <v>1.0609127630576478</v>
      </c>
      <c r="N25" s="55">
        <v>1.5914936637647974</v>
      </c>
      <c r="O25" s="55">
        <v>1.648877940775634</v>
      </c>
      <c r="P25" s="55">
        <v>2.3837591877680806</v>
      </c>
      <c r="Q25" s="55">
        <v>4.5459988221634502</v>
      </c>
      <c r="R25" s="11"/>
      <c r="S25" s="55">
        <f t="shared" si="29"/>
        <v>2.8971208813878162</v>
      </c>
      <c r="T25" s="55">
        <f>'RD T1'!E82</f>
        <v>1.6588512459301632</v>
      </c>
      <c r="U25" s="55">
        <f t="shared" si="30"/>
        <v>4.555972127317979</v>
      </c>
      <c r="W25" t="str">
        <f t="shared" si="31"/>
        <v>61 Caring personal service occupations</v>
      </c>
      <c r="X25" s="55">
        <v>4.1653637983659006</v>
      </c>
      <c r="Y25" s="55">
        <v>4.3548553532433241</v>
      </c>
      <c r="Z25" s="55">
        <v>5.0871228328913283</v>
      </c>
      <c r="AA25" s="55">
        <v>5.8482124379846363</v>
      </c>
      <c r="AB25" s="55">
        <v>7.5929014662941867</v>
      </c>
      <c r="AC25" s="55"/>
      <c r="AD25" s="55">
        <f t="shared" si="32"/>
        <v>2.5057786334028584</v>
      </c>
      <c r="AE25" s="55">
        <f>'RD T1'!E111</f>
        <v>4.2640186348299292</v>
      </c>
      <c r="AF25" s="55">
        <f t="shared" si="33"/>
        <v>6.7697972682327876</v>
      </c>
      <c r="AH25" t="str">
        <f t="shared" si="34"/>
        <v>61 Caring personal service occupations</v>
      </c>
      <c r="AI25" s="55">
        <v>3.7903009313178173</v>
      </c>
      <c r="AJ25" s="55">
        <v>3.5285714341529224</v>
      </c>
      <c r="AK25" s="55">
        <v>4.2006331630226796</v>
      </c>
      <c r="AL25" s="55">
        <v>4.0057302346377091</v>
      </c>
      <c r="AM25" s="55">
        <v>4.432094981420267</v>
      </c>
      <c r="AN25" s="55"/>
      <c r="AO25" s="55">
        <f t="shared" si="35"/>
        <v>0.23146181839758739</v>
      </c>
      <c r="AP25" s="55">
        <f>'RD T1'!E140</f>
        <v>2.5025205577013221</v>
      </c>
      <c r="AQ25" s="55">
        <f t="shared" si="36"/>
        <v>2.7339823760989095</v>
      </c>
      <c r="AS25" t="str">
        <f t="shared" si="37"/>
        <v>61 Caring personal service occupations</v>
      </c>
      <c r="AT25" s="55">
        <v>1.954680161294621</v>
      </c>
      <c r="AU25" s="55">
        <v>1.9929100245831028</v>
      </c>
      <c r="AV25" s="55">
        <v>2.3387631540885168</v>
      </c>
      <c r="AW25" s="55">
        <v>2.2997985351434509</v>
      </c>
      <c r="AX25" s="55">
        <v>2.6553114034887897</v>
      </c>
      <c r="AY25" s="55"/>
      <c r="AZ25" s="55">
        <f t="shared" si="38"/>
        <v>0.31654824940027293</v>
      </c>
      <c r="BA25" s="55">
        <f>'RD T1'!E169</f>
        <v>1.478122160770349</v>
      </c>
      <c r="BB25" s="55">
        <f t="shared" si="39"/>
        <v>1.7946704101706219</v>
      </c>
      <c r="BD25" t="str">
        <f t="shared" si="40"/>
        <v>61 Caring personal service occupations</v>
      </c>
      <c r="BE25" s="55">
        <v>12.532243451603602</v>
      </c>
      <c r="BF25" s="55">
        <v>15.197083113635109</v>
      </c>
      <c r="BG25" s="55">
        <v>14.43868890488992</v>
      </c>
      <c r="BH25" s="55">
        <v>15.358936425009194</v>
      </c>
      <c r="BI25" s="55">
        <v>16.559878886886544</v>
      </c>
      <c r="BJ25" s="55"/>
      <c r="BK25" s="55">
        <f t="shared" si="41"/>
        <v>2.1211899819966238</v>
      </c>
      <c r="BL25" s="55">
        <f>'RD T1'!E198</f>
        <v>8.7924972970959185</v>
      </c>
      <c r="BM25" s="55">
        <f t="shared" si="42"/>
        <v>10.913687279092542</v>
      </c>
      <c r="BO25" t="str">
        <f t="shared" si="43"/>
        <v>61 Caring personal service occupations</v>
      </c>
      <c r="BP25" s="55">
        <v>11.225085592587142</v>
      </c>
      <c r="BQ25" s="55">
        <v>12.086452827449582</v>
      </c>
      <c r="BR25" s="55">
        <v>9.9779947209940332</v>
      </c>
      <c r="BS25" s="55">
        <v>10.103031619415766</v>
      </c>
      <c r="BT25" s="55">
        <v>8.2363985955210968</v>
      </c>
      <c r="BU25" s="55"/>
      <c r="BV25" s="55">
        <f t="shared" si="44"/>
        <v>-1.7415961254729364</v>
      </c>
      <c r="BW25" s="55">
        <f>'RD T1'!E227</f>
        <v>4.9502908172507514</v>
      </c>
      <c r="BX25" s="55">
        <f t="shared" si="45"/>
        <v>3.208694691777815</v>
      </c>
      <c r="BZ25" t="str">
        <f t="shared" si="46"/>
        <v>61 Caring personal service occupations</v>
      </c>
      <c r="CA25" s="55">
        <v>3.147359459623793</v>
      </c>
      <c r="CB25" s="55">
        <v>1.7927165266371012</v>
      </c>
      <c r="CC25" s="55">
        <v>1.4660701153049098</v>
      </c>
      <c r="CD25" s="55">
        <v>1.0247361280453511</v>
      </c>
      <c r="CE25" s="55">
        <v>0.73893507123057256</v>
      </c>
      <c r="CF25" s="55"/>
      <c r="CG25" s="55">
        <f t="shared" si="47"/>
        <v>-0.72713504407433727</v>
      </c>
      <c r="CH25" s="55">
        <f>'RD T1'!E256</f>
        <v>0.33058369520826747</v>
      </c>
      <c r="CI25" s="55">
        <f t="shared" si="48"/>
        <v>-0.3965513488660698</v>
      </c>
      <c r="CK25" t="str">
        <f t="shared" si="49"/>
        <v>61 Caring personal service occupations</v>
      </c>
      <c r="CL25" s="55">
        <v>0.65380056020014787</v>
      </c>
      <c r="CM25" s="55">
        <v>0.4903050673288375</v>
      </c>
      <c r="CN25" s="55">
        <v>0.52346223229924793</v>
      </c>
      <c r="CO25" s="55">
        <v>0.4133666448257608</v>
      </c>
      <c r="CP25" s="55">
        <v>0.30285019289841425</v>
      </c>
      <c r="CQ25" s="55"/>
      <c r="CR25" s="55">
        <f t="shared" si="50"/>
        <v>-0.22061203940083368</v>
      </c>
      <c r="CS25" s="55">
        <f>'RD T1'!E285</f>
        <v>0.11760125142725299</v>
      </c>
      <c r="CT25" s="55">
        <f t="shared" si="51"/>
        <v>-0.10301078797358069</v>
      </c>
    </row>
    <row r="26" spans="1:98">
      <c r="A26" s="10" t="str">
        <f>name!D22</f>
        <v>62 Leisure, travel and related personal service occupations</v>
      </c>
      <c r="B26" s="55">
        <v>8.9542089952393735E-3</v>
      </c>
      <c r="C26" s="55">
        <v>1.6092784096552234E-2</v>
      </c>
      <c r="D26" s="55">
        <v>1.7170951827122732E-2</v>
      </c>
      <c r="E26" s="55">
        <v>2.392703720473003E-2</v>
      </c>
      <c r="F26" s="55">
        <v>4.1563315723296947E-2</v>
      </c>
      <c r="G26" s="11"/>
      <c r="H26" s="55">
        <f t="shared" si="26"/>
        <v>2.4392363896174215E-2</v>
      </c>
      <c r="I26" s="55">
        <f>'RD T1'!E54</f>
        <v>1.5903922695022374E-2</v>
      </c>
      <c r="J26" s="55">
        <f t="shared" si="27"/>
        <v>4.0296286591196592E-2</v>
      </c>
      <c r="L26" t="str">
        <f t="shared" si="28"/>
        <v>62 Leisure, travel and related personal service occupations</v>
      </c>
      <c r="M26" s="55">
        <v>0.1935522872246927</v>
      </c>
      <c r="N26" s="55">
        <v>0.23173289459622545</v>
      </c>
      <c r="O26" s="55">
        <v>0.23088990393483855</v>
      </c>
      <c r="P26" s="55">
        <v>0.26363883521454179</v>
      </c>
      <c r="Q26" s="55">
        <v>0.46079246792537998</v>
      </c>
      <c r="R26" s="11"/>
      <c r="S26" s="55">
        <f t="shared" si="29"/>
        <v>0.22990256399054143</v>
      </c>
      <c r="T26" s="55">
        <f>'RD T1'!E83</f>
        <v>0.17025661725392877</v>
      </c>
      <c r="U26" s="55">
        <f t="shared" si="30"/>
        <v>0.4001591812444702</v>
      </c>
      <c r="W26" t="str">
        <f t="shared" si="31"/>
        <v>62 Leisure, travel and related personal service occupations</v>
      </c>
      <c r="X26" s="55">
        <v>0.89520630631290909</v>
      </c>
      <c r="Y26" s="55">
        <v>0.88230355790970894</v>
      </c>
      <c r="Z26" s="55">
        <v>0.93384356837798443</v>
      </c>
      <c r="AA26" s="55">
        <v>1.0641008476185727</v>
      </c>
      <c r="AB26" s="55">
        <v>1.4851133251436135</v>
      </c>
      <c r="AC26" s="55"/>
      <c r="AD26" s="55">
        <f t="shared" si="32"/>
        <v>0.55126975676562906</v>
      </c>
      <c r="AE26" s="55">
        <f>'RD T1'!E112</f>
        <v>0.74088515744118599</v>
      </c>
      <c r="AF26" s="55">
        <f t="shared" si="33"/>
        <v>1.2921549142068152</v>
      </c>
      <c r="AH26" t="str">
        <f t="shared" si="34"/>
        <v>62 Leisure, travel and related personal service occupations</v>
      </c>
      <c r="AI26" s="55">
        <v>0.6070190042918171</v>
      </c>
      <c r="AJ26" s="55">
        <v>0.57843426580870216</v>
      </c>
      <c r="AK26" s="55">
        <v>0.62586487366166454</v>
      </c>
      <c r="AL26" s="55">
        <v>0.64329100023773211</v>
      </c>
      <c r="AM26" s="55">
        <v>0.85244358778270313</v>
      </c>
      <c r="AN26" s="55"/>
      <c r="AO26" s="55">
        <f t="shared" si="35"/>
        <v>0.22657871412103858</v>
      </c>
      <c r="AP26" s="55">
        <f>'RD T1'!E141</f>
        <v>0.44613160352408021</v>
      </c>
      <c r="AQ26" s="55">
        <f t="shared" si="36"/>
        <v>0.67271031764511879</v>
      </c>
      <c r="AS26" t="str">
        <f t="shared" si="37"/>
        <v>62 Leisure, travel and related personal service occupations</v>
      </c>
      <c r="AT26" s="55">
        <v>0.70032400642643144</v>
      </c>
      <c r="AU26" s="55">
        <v>0.64992732146940468</v>
      </c>
      <c r="AV26" s="55">
        <v>0.72455408037163693</v>
      </c>
      <c r="AW26" s="55">
        <v>0.75711804123978332</v>
      </c>
      <c r="AX26" s="55">
        <v>1.0224081237166951</v>
      </c>
      <c r="AY26" s="55"/>
      <c r="AZ26" s="55">
        <f t="shared" si="38"/>
        <v>0.29785404334505816</v>
      </c>
      <c r="BA26" s="55">
        <f>'RD T1'!E170</f>
        <v>0.52981251382272898</v>
      </c>
      <c r="BB26" s="55">
        <f t="shared" si="39"/>
        <v>0.82766655716778714</v>
      </c>
      <c r="BD26" t="str">
        <f t="shared" si="40"/>
        <v>62 Leisure, travel and related personal service occupations</v>
      </c>
      <c r="BE26" s="55">
        <v>2.797403765686056</v>
      </c>
      <c r="BF26" s="55">
        <v>2.4324340226698586</v>
      </c>
      <c r="BG26" s="55">
        <v>2.1936744287136394</v>
      </c>
      <c r="BH26" s="55">
        <v>2.0210723270884126</v>
      </c>
      <c r="BI26" s="55">
        <v>1.8407814733969885</v>
      </c>
      <c r="BJ26" s="55"/>
      <c r="BK26" s="55">
        <f t="shared" si="41"/>
        <v>-0.35289295531665088</v>
      </c>
      <c r="BL26" s="55">
        <f>'RD T1'!E199</f>
        <v>0.88475572644498446</v>
      </c>
      <c r="BM26" s="55">
        <f t="shared" si="42"/>
        <v>0.53186277112833358</v>
      </c>
      <c r="BO26" t="str">
        <f t="shared" si="43"/>
        <v>62 Leisure, travel and related personal service occupations</v>
      </c>
      <c r="BP26" s="55">
        <v>3.2955466375536724</v>
      </c>
      <c r="BQ26" s="55">
        <v>2.8730015706520535</v>
      </c>
      <c r="BR26" s="55">
        <v>2.3295230642823586</v>
      </c>
      <c r="BS26" s="55">
        <v>2.1596028434122272</v>
      </c>
      <c r="BT26" s="55">
        <v>1.756090402243478</v>
      </c>
      <c r="BU26" s="55"/>
      <c r="BV26" s="55">
        <f t="shared" si="44"/>
        <v>-0.57343266203888055</v>
      </c>
      <c r="BW26" s="55">
        <f>'RD T1'!E228</f>
        <v>1.0050288316101279</v>
      </c>
      <c r="BX26" s="55">
        <f t="shared" si="45"/>
        <v>0.43159616957124736</v>
      </c>
      <c r="BZ26" t="str">
        <f t="shared" si="46"/>
        <v>62 Leisure, travel and related personal service occupations</v>
      </c>
      <c r="CA26" s="55">
        <v>1.9450399482126173</v>
      </c>
      <c r="CB26" s="55">
        <v>1.6439880254009598</v>
      </c>
      <c r="CC26" s="55">
        <v>1.392087677542144</v>
      </c>
      <c r="CD26" s="55">
        <v>1.1656645570501425</v>
      </c>
      <c r="CE26" s="55">
        <v>0.73546264092131908</v>
      </c>
      <c r="CF26" s="55"/>
      <c r="CG26" s="55">
        <f t="shared" si="47"/>
        <v>-0.65662503662082494</v>
      </c>
      <c r="CH26" s="55">
        <f>'RD T1'!E257</f>
        <v>0.44813919303168165</v>
      </c>
      <c r="CI26" s="55">
        <f t="shared" si="48"/>
        <v>-0.20848584358914329</v>
      </c>
      <c r="CK26" t="str">
        <f t="shared" si="49"/>
        <v>62 Leisure, travel and related personal service occupations</v>
      </c>
      <c r="CL26" s="55">
        <v>1.0392493209526517</v>
      </c>
      <c r="CM26" s="55">
        <v>0.720463449994037</v>
      </c>
      <c r="CN26" s="55">
        <v>0.73439934112158267</v>
      </c>
      <c r="CO26" s="55">
        <v>0.38300495891201641</v>
      </c>
      <c r="CP26" s="55">
        <v>0.21855535154126704</v>
      </c>
      <c r="CQ26" s="55"/>
      <c r="CR26" s="55">
        <f t="shared" si="50"/>
        <v>-0.51584398958031563</v>
      </c>
      <c r="CS26" s="55">
        <f>'RD T1'!E286</f>
        <v>0.11610218612722276</v>
      </c>
      <c r="CT26" s="55">
        <f t="shared" si="51"/>
        <v>-0.39974180345309285</v>
      </c>
    </row>
    <row r="27" spans="1:98">
      <c r="A27" s="10" t="str">
        <f>name!D23</f>
        <v>63 Community and civil enforcement occupations</v>
      </c>
      <c r="B27" s="55">
        <v>1.0817696944462332E-3</v>
      </c>
      <c r="C27" s="55">
        <v>1.7133587428130902E-3</v>
      </c>
      <c r="D27" s="55">
        <v>1.3021404097811192E-3</v>
      </c>
      <c r="E27" s="55">
        <v>1.9872070878695553E-3</v>
      </c>
      <c r="F27" s="55">
        <v>3.0920769389135498E-3</v>
      </c>
      <c r="G27" s="11"/>
      <c r="H27" s="55">
        <f t="shared" si="26"/>
        <v>1.7899365291324306E-3</v>
      </c>
      <c r="I27" s="55">
        <f>'RD T1'!E55</f>
        <v>1.2312368881742895E-3</v>
      </c>
      <c r="J27" s="55">
        <f t="shared" si="27"/>
        <v>3.0211734173067198E-3</v>
      </c>
      <c r="L27" t="str">
        <f t="shared" si="28"/>
        <v>63 Community and civil enforcement occupations</v>
      </c>
      <c r="M27" s="55">
        <v>1.3615316936934976E-2</v>
      </c>
      <c r="N27" s="55">
        <v>1.6349483823643155E-2</v>
      </c>
      <c r="O27" s="55">
        <v>1.6142172010219294E-2</v>
      </c>
      <c r="P27" s="55">
        <v>1.8012647243309081E-2</v>
      </c>
      <c r="Q27" s="55">
        <v>2.9373464294570953E-2</v>
      </c>
      <c r="R27" s="11"/>
      <c r="S27" s="55">
        <f t="shared" si="29"/>
        <v>1.3231292284351659E-2</v>
      </c>
      <c r="T27" s="55">
        <f>'RD T1'!E84</f>
        <v>1.1375244083860843E-2</v>
      </c>
      <c r="U27" s="55">
        <f t="shared" si="30"/>
        <v>2.46065363682125E-2</v>
      </c>
      <c r="W27" t="str">
        <f t="shared" si="31"/>
        <v>63 Community and civil enforcement occupations</v>
      </c>
      <c r="X27" s="55">
        <v>6.4771405025924822E-2</v>
      </c>
      <c r="Y27" s="55">
        <v>6.075284399578941E-2</v>
      </c>
      <c r="Z27" s="55">
        <v>6.8915963889262952E-2</v>
      </c>
      <c r="AA27" s="55">
        <v>7.276431132403402E-2</v>
      </c>
      <c r="AB27" s="55">
        <v>9.2318389966618508E-2</v>
      </c>
      <c r="AC27" s="55"/>
      <c r="AD27" s="55">
        <f t="shared" si="32"/>
        <v>2.3402426077355556E-2</v>
      </c>
      <c r="AE27" s="55">
        <f>'RD T1'!E113</f>
        <v>5.2770939321376407E-2</v>
      </c>
      <c r="AF27" s="55">
        <f t="shared" si="33"/>
        <v>7.6173365398731957E-2</v>
      </c>
      <c r="AH27" t="str">
        <f t="shared" si="34"/>
        <v>63 Community and civil enforcement occupations</v>
      </c>
      <c r="AI27" s="55">
        <v>1.9452086428058641E-2</v>
      </c>
      <c r="AJ27" s="55">
        <v>1.6312122462992604E-2</v>
      </c>
      <c r="AK27" s="55">
        <v>2.1113658703558812E-2</v>
      </c>
      <c r="AL27" s="55">
        <v>1.793014975499703E-2</v>
      </c>
      <c r="AM27" s="55">
        <v>2.3137653568752872E-2</v>
      </c>
      <c r="AN27" s="55"/>
      <c r="AO27" s="55">
        <f t="shared" si="35"/>
        <v>2.0239948651940599E-3</v>
      </c>
      <c r="AP27" s="55">
        <f>'RD T1'!E142</f>
        <v>1.1726947996042987E-2</v>
      </c>
      <c r="AQ27" s="55">
        <f t="shared" si="36"/>
        <v>1.3750942861237047E-2</v>
      </c>
      <c r="AS27" t="str">
        <f t="shared" si="37"/>
        <v>63 Community and civil enforcement occupations</v>
      </c>
      <c r="AT27" s="55">
        <v>1.9718340716966504E-2</v>
      </c>
      <c r="AU27" s="55">
        <v>1.6444689332652845E-2</v>
      </c>
      <c r="AV27" s="55">
        <v>2.058998577755608E-2</v>
      </c>
      <c r="AW27" s="55">
        <v>1.6709755353201301E-2</v>
      </c>
      <c r="AX27" s="55">
        <v>1.8127067482933423E-2</v>
      </c>
      <c r="AY27" s="55"/>
      <c r="AZ27" s="55">
        <f t="shared" si="38"/>
        <v>-2.4629182946226576E-3</v>
      </c>
      <c r="BA27" s="55">
        <f>'RD T1'!E171</f>
        <v>1.1627705127141829E-2</v>
      </c>
      <c r="BB27" s="55">
        <f t="shared" si="39"/>
        <v>9.1647868325191711E-3</v>
      </c>
      <c r="BD27" t="str">
        <f t="shared" si="40"/>
        <v>63 Community and civil enforcement occupations</v>
      </c>
      <c r="BE27" s="55">
        <v>7.0731266362809977E-2</v>
      </c>
      <c r="BF27" s="55">
        <v>5.1553439061969887E-2</v>
      </c>
      <c r="BG27" s="55">
        <v>7.0604552428313538E-2</v>
      </c>
      <c r="BH27" s="55">
        <v>4.7867168905647087E-2</v>
      </c>
      <c r="BI27" s="55">
        <v>5.6495524085763582E-2</v>
      </c>
      <c r="BJ27" s="55"/>
      <c r="BK27" s="55">
        <f t="shared" si="41"/>
        <v>-1.4109028342549956E-2</v>
      </c>
      <c r="BL27" s="55">
        <f>'RD T1'!E200</f>
        <v>1.969987230247456E-2</v>
      </c>
      <c r="BM27" s="55">
        <f t="shared" si="42"/>
        <v>5.5908439599246032E-3</v>
      </c>
      <c r="BO27" t="str">
        <f t="shared" si="43"/>
        <v>63 Community and civil enforcement occupations</v>
      </c>
      <c r="BP27" s="55">
        <v>0.11154429675316485</v>
      </c>
      <c r="BQ27" s="55">
        <v>9.792731757913721E-2</v>
      </c>
      <c r="BR27" s="55">
        <v>0.11217573056761668</v>
      </c>
      <c r="BS27" s="55">
        <v>8.6992165808117139E-2</v>
      </c>
      <c r="BT27" s="55">
        <v>9.1911623463619543E-2</v>
      </c>
      <c r="BU27" s="55"/>
      <c r="BV27" s="55">
        <f t="shared" si="44"/>
        <v>-2.0264107103997134E-2</v>
      </c>
      <c r="BW27" s="55">
        <f>'RD T1'!E229</f>
        <v>4.1520329684173789E-2</v>
      </c>
      <c r="BX27" s="55">
        <f t="shared" si="45"/>
        <v>2.1256222580176655E-2</v>
      </c>
      <c r="BZ27" t="str">
        <f t="shared" si="46"/>
        <v>63 Community and civil enforcement occupations</v>
      </c>
      <c r="CA27" s="55">
        <v>9.5883608535917833E-2</v>
      </c>
      <c r="CB27" s="55">
        <v>7.7109827784864374E-2</v>
      </c>
      <c r="CC27" s="55">
        <v>9.4047922368465722E-2</v>
      </c>
      <c r="CD27" s="55">
        <v>6.4889969784321488E-2</v>
      </c>
      <c r="CE27" s="55">
        <v>5.306508109641133E-2</v>
      </c>
      <c r="CF27" s="55"/>
      <c r="CG27" s="55">
        <f t="shared" si="47"/>
        <v>-4.0982841272054392E-2</v>
      </c>
      <c r="CH27" s="55">
        <f>'RD T1'!E258</f>
        <v>2.5910398201763409E-2</v>
      </c>
      <c r="CI27" s="55">
        <f t="shared" si="48"/>
        <v>-1.5072443070290983E-2</v>
      </c>
      <c r="CK27" t="str">
        <f t="shared" si="49"/>
        <v>63 Community and civil enforcement occupations</v>
      </c>
      <c r="CL27" s="55">
        <v>4.9872730870807125E-2</v>
      </c>
      <c r="CM27" s="55">
        <v>2.9300161842517505E-2</v>
      </c>
      <c r="CN27" s="55">
        <v>4.2042430076300347E-2</v>
      </c>
      <c r="CO27" s="55">
        <v>1.3728029549548834E-2</v>
      </c>
      <c r="CP27" s="55">
        <v>7.5248768286723675E-3</v>
      </c>
      <c r="CQ27" s="55"/>
      <c r="CR27" s="55">
        <f t="shared" si="50"/>
        <v>-3.451755324762798E-2</v>
      </c>
      <c r="CS27" s="55">
        <f>'RD T1'!E287</f>
        <v>3.8898006892707257E-3</v>
      </c>
      <c r="CT27" s="55">
        <f t="shared" si="51"/>
        <v>-3.0627752558357254E-2</v>
      </c>
    </row>
    <row r="28" spans="1:98">
      <c r="A28" s="10" t="str">
        <f>name!D24</f>
        <v>71 Sales occupations</v>
      </c>
      <c r="B28" s="55">
        <v>5.1371132044313712E-2</v>
      </c>
      <c r="C28" s="55">
        <v>5.8515249272439417E-2</v>
      </c>
      <c r="D28" s="55">
        <v>5.1521421466505117E-2</v>
      </c>
      <c r="E28" s="55">
        <v>6.4441024114039541E-2</v>
      </c>
      <c r="F28" s="55">
        <v>9.5067951478678192E-2</v>
      </c>
      <c r="G28" s="11"/>
      <c r="H28" s="55">
        <f t="shared" si="26"/>
        <v>4.3546530012173075E-2</v>
      </c>
      <c r="I28" s="55">
        <f>'RD T1'!E56</f>
        <v>3.1876301012604608E-2</v>
      </c>
      <c r="J28" s="55">
        <f t="shared" si="27"/>
        <v>7.5422831024777676E-2</v>
      </c>
      <c r="L28" t="str">
        <f t="shared" si="28"/>
        <v>71 Sales occupations</v>
      </c>
      <c r="M28" s="55">
        <v>0.79105228257205462</v>
      </c>
      <c r="N28" s="55">
        <v>0.98765865598868841</v>
      </c>
      <c r="O28" s="55">
        <v>0.98347173045997194</v>
      </c>
      <c r="P28" s="55">
        <v>1.3601134625449132</v>
      </c>
      <c r="Q28" s="55">
        <v>2.3803573799034092</v>
      </c>
      <c r="R28" s="11"/>
      <c r="S28" s="55">
        <f t="shared" si="29"/>
        <v>1.3968856494434374</v>
      </c>
      <c r="T28" s="55">
        <f>'RD T1'!E85</f>
        <v>0.73978695790798821</v>
      </c>
      <c r="U28" s="55">
        <f t="shared" si="30"/>
        <v>2.1366726073514255</v>
      </c>
      <c r="W28" t="str">
        <f t="shared" si="31"/>
        <v>71 Sales occupations</v>
      </c>
      <c r="X28" s="55">
        <v>3.7896892602569388</v>
      </c>
      <c r="Y28" s="55">
        <v>3.434596724183979</v>
      </c>
      <c r="Z28" s="55">
        <v>3.9468215236163324</v>
      </c>
      <c r="AA28" s="55">
        <v>4.3835900750347845</v>
      </c>
      <c r="AB28" s="55">
        <v>5.7259854878755334</v>
      </c>
      <c r="AC28" s="55"/>
      <c r="AD28" s="55">
        <f t="shared" si="32"/>
        <v>1.779163964259201</v>
      </c>
      <c r="AE28" s="55">
        <f>'RD T1'!E114</f>
        <v>2.5626202952945922</v>
      </c>
      <c r="AF28" s="55">
        <f t="shared" si="33"/>
        <v>4.3417842595537932</v>
      </c>
      <c r="AH28" t="str">
        <f t="shared" si="34"/>
        <v>71 Sales occupations</v>
      </c>
      <c r="AI28" s="55">
        <v>1.2500924494665684</v>
      </c>
      <c r="AJ28" s="55">
        <v>1.1040263790439526</v>
      </c>
      <c r="AK28" s="55">
        <v>1.3101473766722389</v>
      </c>
      <c r="AL28" s="55">
        <v>1.3378223689725883</v>
      </c>
      <c r="AM28" s="55">
        <v>1.6573629935864123</v>
      </c>
      <c r="AN28" s="55"/>
      <c r="AO28" s="55">
        <f t="shared" si="35"/>
        <v>0.34721561691417335</v>
      </c>
      <c r="AP28" s="55">
        <f>'RD T1'!E143</f>
        <v>0.77363420469422917</v>
      </c>
      <c r="AQ28" s="55">
        <f t="shared" si="36"/>
        <v>1.1208498216084024</v>
      </c>
      <c r="AS28" t="str">
        <f t="shared" si="37"/>
        <v>71 Sales occupations</v>
      </c>
      <c r="AT28" s="55">
        <v>1.1186726241505665</v>
      </c>
      <c r="AU28" s="55">
        <v>0.96416977486340782</v>
      </c>
      <c r="AV28" s="55">
        <v>1.0877926018386168</v>
      </c>
      <c r="AW28" s="55">
        <v>1.0636926713312982</v>
      </c>
      <c r="AX28" s="55">
        <v>1.2845101864718134</v>
      </c>
      <c r="AY28" s="55"/>
      <c r="AZ28" s="55">
        <f t="shared" si="38"/>
        <v>0.19671758463319655</v>
      </c>
      <c r="BA28" s="55">
        <f>'RD T1'!E172</f>
        <v>0.53341634133115001</v>
      </c>
      <c r="BB28" s="55">
        <f t="shared" si="39"/>
        <v>0.73013392596434656</v>
      </c>
      <c r="BD28" t="str">
        <f t="shared" si="40"/>
        <v>71 Sales occupations</v>
      </c>
      <c r="BE28" s="55">
        <v>7.9063108182081123</v>
      </c>
      <c r="BF28" s="55">
        <v>7.7136233457640966</v>
      </c>
      <c r="BG28" s="55">
        <v>7.7582300601532053</v>
      </c>
      <c r="BH28" s="55">
        <v>8.0073638635255939</v>
      </c>
      <c r="BI28" s="55">
        <v>8.0438953356319178</v>
      </c>
      <c r="BJ28" s="55"/>
      <c r="BK28" s="55">
        <f t="shared" si="41"/>
        <v>0.28566527547871257</v>
      </c>
      <c r="BL28" s="55">
        <f>'RD T1'!E201</f>
        <v>3.5149738057665374</v>
      </c>
      <c r="BM28" s="55">
        <f t="shared" si="42"/>
        <v>3.80063908124525</v>
      </c>
      <c r="BO28" t="str">
        <f t="shared" si="43"/>
        <v>71 Sales occupations</v>
      </c>
      <c r="BP28" s="55">
        <v>9.3271016515507927</v>
      </c>
      <c r="BQ28" s="55">
        <v>8.4677192379612212</v>
      </c>
      <c r="BR28" s="55">
        <v>7.4616688498586594</v>
      </c>
      <c r="BS28" s="55">
        <v>7.5678590005177915</v>
      </c>
      <c r="BT28" s="55">
        <v>6.2216050636152662</v>
      </c>
      <c r="BU28" s="55"/>
      <c r="BV28" s="55">
        <f t="shared" si="44"/>
        <v>-1.2400637862433932</v>
      </c>
      <c r="BW28" s="55">
        <f>'RD T1'!E230</f>
        <v>3.3889686413744493</v>
      </c>
      <c r="BX28" s="55">
        <f t="shared" si="45"/>
        <v>2.1489048551310561</v>
      </c>
      <c r="BZ28" t="str">
        <f t="shared" si="46"/>
        <v>71 Sales occupations</v>
      </c>
      <c r="CA28" s="55">
        <v>6.0413233086388534</v>
      </c>
      <c r="CB28" s="55">
        <v>5.186845789730202</v>
      </c>
      <c r="CC28" s="55">
        <v>4.7489068330129562</v>
      </c>
      <c r="CD28" s="55">
        <v>3.8226850766534746</v>
      </c>
      <c r="CE28" s="55">
        <v>1.595251934127762</v>
      </c>
      <c r="CF28" s="55"/>
      <c r="CG28" s="55">
        <f t="shared" si="47"/>
        <v>-3.1536548988851942</v>
      </c>
      <c r="CH28" s="55">
        <f>'RD T1'!E259</f>
        <v>1.1702225486654796</v>
      </c>
      <c r="CI28" s="55">
        <f t="shared" si="48"/>
        <v>-1.9834323502197146</v>
      </c>
      <c r="CK28" t="str">
        <f t="shared" si="49"/>
        <v>71 Sales occupations</v>
      </c>
      <c r="CL28" s="55">
        <v>3.948186671464343</v>
      </c>
      <c r="CM28" s="55">
        <v>2.8191003572297859</v>
      </c>
      <c r="CN28" s="55">
        <v>2.9023787376878705</v>
      </c>
      <c r="CO28" s="55">
        <v>1.6062655590199586</v>
      </c>
      <c r="CP28" s="55">
        <v>0.8093126195934367</v>
      </c>
      <c r="CQ28" s="55"/>
      <c r="CR28" s="55">
        <f t="shared" si="50"/>
        <v>-2.0930661180944337</v>
      </c>
      <c r="CS28" s="55">
        <f>'RD T1'!E288</f>
        <v>0.39859311044588019</v>
      </c>
      <c r="CT28" s="55">
        <f t="shared" si="51"/>
        <v>-1.6944730076485535</v>
      </c>
    </row>
    <row r="29" spans="1:98">
      <c r="A29" s="10" t="str">
        <f>name!D25</f>
        <v>72 Customer service occupations</v>
      </c>
      <c r="B29" s="55">
        <v>2.6682710499883949E-2</v>
      </c>
      <c r="C29" s="55">
        <v>3.2263244573694956E-2</v>
      </c>
      <c r="D29" s="55">
        <v>3.416016685741597E-2</v>
      </c>
      <c r="E29" s="55">
        <v>5.5625626656611388E-2</v>
      </c>
      <c r="F29" s="55">
        <v>9.948227534593071E-2</v>
      </c>
      <c r="G29" s="11"/>
      <c r="H29" s="55">
        <f>F29-D29</f>
        <v>6.5322108488514746E-2</v>
      </c>
      <c r="I29" s="55">
        <f>'RD T1'!E57</f>
        <v>2.8547988703999889E-2</v>
      </c>
      <c r="J29" s="55">
        <f t="shared" si="27"/>
        <v>9.3870097192514629E-2</v>
      </c>
      <c r="L29" t="str">
        <f t="shared" si="28"/>
        <v>72 Customer service occupations</v>
      </c>
      <c r="M29" s="55">
        <v>0.2437980210959011</v>
      </c>
      <c r="N29" s="55">
        <v>0.33563811126897558</v>
      </c>
      <c r="O29" s="55">
        <v>0.35601588390914296</v>
      </c>
      <c r="P29" s="55">
        <v>0.51614123867017048</v>
      </c>
      <c r="Q29" s="55">
        <v>0.88783695288266995</v>
      </c>
      <c r="R29" s="11"/>
      <c r="S29" s="55">
        <f t="shared" si="29"/>
        <v>0.53182106897352699</v>
      </c>
      <c r="T29" s="55">
        <f>'RD T1'!E86</f>
        <v>0.28065901940711846</v>
      </c>
      <c r="U29" s="55">
        <f t="shared" si="30"/>
        <v>0.81248008838064545</v>
      </c>
      <c r="W29" t="str">
        <f t="shared" si="31"/>
        <v>72 Customer service occupations</v>
      </c>
      <c r="X29" s="55">
        <v>1.2612809662940376</v>
      </c>
      <c r="Y29" s="55">
        <v>1.1868364172791099</v>
      </c>
      <c r="Z29" s="55">
        <v>1.4180283873247137</v>
      </c>
      <c r="AA29" s="55">
        <v>1.6687384497878368</v>
      </c>
      <c r="AB29" s="55">
        <v>2.1687493220488063</v>
      </c>
      <c r="AC29" s="55"/>
      <c r="AD29" s="55">
        <f t="shared" si="32"/>
        <v>0.75072093472409263</v>
      </c>
      <c r="AE29" s="55">
        <f>'RD T1'!E115</f>
        <v>0.94869291569278635</v>
      </c>
      <c r="AF29" s="55">
        <f t="shared" si="33"/>
        <v>1.699413850416879</v>
      </c>
      <c r="AH29" t="str">
        <f t="shared" si="34"/>
        <v>72 Customer service occupations</v>
      </c>
      <c r="AI29" s="55">
        <v>0.3729502068085942</v>
      </c>
      <c r="AJ29" s="55">
        <v>0.37303983004418662</v>
      </c>
      <c r="AK29" s="55">
        <v>0.47144578174191826</v>
      </c>
      <c r="AL29" s="55">
        <v>0.56468358448588984</v>
      </c>
      <c r="AM29" s="55">
        <v>0.77309528390440607</v>
      </c>
      <c r="AN29" s="55"/>
      <c r="AO29" s="55">
        <f t="shared" si="35"/>
        <v>0.30164950216248781</v>
      </c>
      <c r="AP29" s="55">
        <f>'RD T1'!E144</f>
        <v>0.32770664449475867</v>
      </c>
      <c r="AQ29" s="55">
        <f t="shared" si="36"/>
        <v>0.62935614665724648</v>
      </c>
      <c r="AS29" t="str">
        <f t="shared" si="37"/>
        <v>72 Customer service occupations</v>
      </c>
      <c r="AT29" s="55">
        <v>0.74808649742822209</v>
      </c>
      <c r="AU29" s="55">
        <v>0.62942047301752346</v>
      </c>
      <c r="AV29" s="55">
        <v>0.69786080065493294</v>
      </c>
      <c r="AW29" s="55">
        <v>0.838247075874339</v>
      </c>
      <c r="AX29" s="55">
        <v>0.9805590210433095</v>
      </c>
      <c r="AY29" s="55"/>
      <c r="AZ29" s="55">
        <f t="shared" si="38"/>
        <v>0.28269822038837655</v>
      </c>
      <c r="BA29" s="55">
        <f>'RD T1'!E173</f>
        <v>0.40053729386887965</v>
      </c>
      <c r="BB29" s="55">
        <f t="shared" si="39"/>
        <v>0.68323551425725615</v>
      </c>
      <c r="BD29" t="str">
        <f t="shared" si="40"/>
        <v>72 Customer service occupations</v>
      </c>
      <c r="BE29" s="55">
        <v>2.1613164427300364</v>
      </c>
      <c r="BF29" s="55">
        <v>2.1923060585034695</v>
      </c>
      <c r="BG29" s="55">
        <v>2.2125078173552954</v>
      </c>
      <c r="BH29" s="55">
        <v>2.5175091633171625</v>
      </c>
      <c r="BI29" s="55">
        <v>2.7564550002200106</v>
      </c>
      <c r="BJ29" s="55"/>
      <c r="BK29" s="55">
        <f t="shared" si="41"/>
        <v>0.54394718286471511</v>
      </c>
      <c r="BL29" s="55">
        <f>'RD T1'!E202</f>
        <v>1.0639033438918477</v>
      </c>
      <c r="BM29" s="55">
        <f t="shared" si="42"/>
        <v>1.6078505267565628</v>
      </c>
      <c r="BO29" t="str">
        <f t="shared" si="43"/>
        <v>72 Customer service occupations</v>
      </c>
      <c r="BP29" s="55">
        <v>2.43936195768643</v>
      </c>
      <c r="BQ29" s="55">
        <v>2.4857453665104225</v>
      </c>
      <c r="BR29" s="55">
        <v>2.2078424961543099</v>
      </c>
      <c r="BS29" s="55">
        <v>2.4864246729487691</v>
      </c>
      <c r="BT29" s="55">
        <v>2.3467200561480261</v>
      </c>
      <c r="BU29" s="55"/>
      <c r="BV29" s="55">
        <f t="shared" si="44"/>
        <v>0.1388775599937162</v>
      </c>
      <c r="BW29" s="55">
        <f>'RD T1'!E231</f>
        <v>1.1607459150232537</v>
      </c>
      <c r="BX29" s="55">
        <f t="shared" si="45"/>
        <v>1.29962347501697</v>
      </c>
      <c r="BZ29" t="str">
        <f t="shared" si="46"/>
        <v>72 Customer service occupations</v>
      </c>
      <c r="CA29" s="55">
        <v>1.3213573559543079</v>
      </c>
      <c r="CB29" s="55">
        <v>1.1062302129372013</v>
      </c>
      <c r="CC29" s="55">
        <v>1.0856040301194343</v>
      </c>
      <c r="CD29" s="55">
        <v>0.99821672619435842</v>
      </c>
      <c r="CE29" s="55">
        <v>0.8158814591692346</v>
      </c>
      <c r="CF29" s="55"/>
      <c r="CG29" s="55">
        <f t="shared" si="47"/>
        <v>-0.26972257095019969</v>
      </c>
      <c r="CH29" s="55">
        <f>'RD T1'!E260</f>
        <v>0.31916655975016345</v>
      </c>
      <c r="CI29" s="55">
        <f t="shared" si="48"/>
        <v>4.9443988799963756E-2</v>
      </c>
      <c r="CK29" t="str">
        <f t="shared" si="49"/>
        <v>72 Customer service occupations</v>
      </c>
      <c r="CL29" s="55">
        <v>0.51385648524031147</v>
      </c>
      <c r="CM29" s="55">
        <v>0.50652200371456779</v>
      </c>
      <c r="CN29" s="55">
        <v>0.60538144190958221</v>
      </c>
      <c r="CO29" s="55">
        <v>0.51304840820994346</v>
      </c>
      <c r="CP29" s="55">
        <v>0.4389544810029461</v>
      </c>
      <c r="CQ29" s="55"/>
      <c r="CR29" s="55">
        <f t="shared" si="50"/>
        <v>-0.16642696090663611</v>
      </c>
      <c r="CS29" s="55">
        <f>'RD T1'!E289</f>
        <v>0.16684289007027783</v>
      </c>
      <c r="CT29" s="55">
        <f t="shared" si="51"/>
        <v>4.1592916364172061E-4</v>
      </c>
    </row>
    <row r="30" spans="1:98">
      <c r="A30" s="10" t="str">
        <f>name!D26</f>
        <v>81 Process, plant and machine operatives</v>
      </c>
      <c r="B30" s="55">
        <v>2.5692132480387705E-2</v>
      </c>
      <c r="C30" s="55">
        <v>3.5420844052115028E-2</v>
      </c>
      <c r="D30" s="55">
        <v>3.1135425553467398E-2</v>
      </c>
      <c r="E30" s="55">
        <v>4.8530092581598329E-2</v>
      </c>
      <c r="F30" s="55">
        <v>0.10711885005811664</v>
      </c>
      <c r="G30" s="11"/>
      <c r="H30" s="55">
        <f t="shared" si="26"/>
        <v>7.5983424504649233E-2</v>
      </c>
      <c r="I30" s="55">
        <f>'RD T1'!E58</f>
        <v>3.5477063816658376E-2</v>
      </c>
      <c r="J30" s="55">
        <f t="shared" si="27"/>
        <v>0.11146048832130762</v>
      </c>
      <c r="L30" t="str">
        <f t="shared" si="28"/>
        <v>81 Process, plant and machine operatives</v>
      </c>
      <c r="M30" s="55">
        <v>0.18412572321412979</v>
      </c>
      <c r="N30" s="55">
        <v>0.25464867256371165</v>
      </c>
      <c r="O30" s="55">
        <v>0.21349522513418287</v>
      </c>
      <c r="P30" s="55">
        <v>0.35827908735275782</v>
      </c>
      <c r="Q30" s="55">
        <v>0.66902668489123696</v>
      </c>
      <c r="R30" s="11"/>
      <c r="S30" s="55">
        <f t="shared" si="29"/>
        <v>0.45553145975705411</v>
      </c>
      <c r="T30" s="55">
        <f>'RD T1'!E87</f>
        <v>0.2073566655285837</v>
      </c>
      <c r="U30" s="55">
        <f t="shared" si="30"/>
        <v>0.66288812528563779</v>
      </c>
      <c r="W30" t="str">
        <f t="shared" si="31"/>
        <v>81 Process, plant and machine operatives</v>
      </c>
      <c r="X30" s="55">
        <v>0.6456509969664036</v>
      </c>
      <c r="Y30" s="55">
        <v>0.62756312371458889</v>
      </c>
      <c r="Z30" s="55">
        <v>0.59962612406069482</v>
      </c>
      <c r="AA30" s="55">
        <v>0.89738449817421051</v>
      </c>
      <c r="AB30" s="55">
        <v>1.4950693176859413</v>
      </c>
      <c r="AC30" s="55"/>
      <c r="AD30" s="55">
        <f t="shared" si="32"/>
        <v>0.89544319362524649</v>
      </c>
      <c r="AE30" s="55">
        <f>'RD T1'!E116</f>
        <v>0.58490793450728595</v>
      </c>
      <c r="AF30" s="55">
        <f t="shared" si="33"/>
        <v>1.4803511281325323</v>
      </c>
      <c r="AH30" t="str">
        <f t="shared" si="34"/>
        <v>81 Process, plant and machine operatives</v>
      </c>
      <c r="AI30" s="55">
        <v>0.30014745991057418</v>
      </c>
      <c r="AJ30" s="55">
        <v>0.29056350822877691</v>
      </c>
      <c r="AK30" s="55">
        <v>0.27664983738928806</v>
      </c>
      <c r="AL30" s="55">
        <v>0.34802556721966371</v>
      </c>
      <c r="AM30" s="55">
        <v>0.44036906790970776</v>
      </c>
      <c r="AN30" s="55"/>
      <c r="AO30" s="55">
        <f t="shared" si="35"/>
        <v>0.1637192305204197</v>
      </c>
      <c r="AP30" s="55">
        <f>'RD T1'!E145</f>
        <v>0.17350269468195548</v>
      </c>
      <c r="AQ30" s="55">
        <f t="shared" si="36"/>
        <v>0.33722192520237515</v>
      </c>
      <c r="AS30" t="str">
        <f t="shared" si="37"/>
        <v>81 Process, plant and machine operatives</v>
      </c>
      <c r="AT30" s="55">
        <v>0.77335949713648033</v>
      </c>
      <c r="AU30" s="55">
        <v>0.68570425077124941</v>
      </c>
      <c r="AV30" s="55">
        <v>0.62767027926463737</v>
      </c>
      <c r="AW30" s="55">
        <v>0.77274077247253348</v>
      </c>
      <c r="AX30" s="55">
        <v>0.99054743126400624</v>
      </c>
      <c r="AY30" s="55"/>
      <c r="AZ30" s="55">
        <f t="shared" si="38"/>
        <v>0.36287715199936887</v>
      </c>
      <c r="BA30" s="55">
        <f>'RD T1'!E174</f>
        <v>0.40026117289270557</v>
      </c>
      <c r="BB30" s="55">
        <f t="shared" si="39"/>
        <v>0.76313832489207445</v>
      </c>
      <c r="BD30" t="str">
        <f t="shared" si="40"/>
        <v>81 Process, plant and machine operatives</v>
      </c>
      <c r="BE30" s="55">
        <v>4.654987742302823</v>
      </c>
      <c r="BF30" s="55">
        <v>5.0727102280712311</v>
      </c>
      <c r="BG30" s="55">
        <v>4.3286852143399912</v>
      </c>
      <c r="BH30" s="55">
        <v>5.2234535297897535</v>
      </c>
      <c r="BI30" s="55">
        <v>5.6850084765648949</v>
      </c>
      <c r="BJ30" s="55"/>
      <c r="BK30" s="55">
        <f t="shared" si="41"/>
        <v>1.3563232622249037</v>
      </c>
      <c r="BL30" s="55">
        <f>'RD T1'!E203</f>
        <v>1.9699326752325603</v>
      </c>
      <c r="BM30" s="55">
        <f t="shared" si="42"/>
        <v>3.3262559374574643</v>
      </c>
      <c r="BO30" t="str">
        <f t="shared" si="43"/>
        <v>81 Process, plant and machine operatives</v>
      </c>
      <c r="BP30" s="55">
        <v>6.5015620176194133</v>
      </c>
      <c r="BQ30" s="55">
        <v>6.7879911578511543</v>
      </c>
      <c r="BR30" s="55">
        <v>5.4435191254591624</v>
      </c>
      <c r="BS30" s="55">
        <v>6.4965011300582685</v>
      </c>
      <c r="BT30" s="55">
        <v>5.9830134080268929</v>
      </c>
      <c r="BU30" s="55"/>
      <c r="BV30" s="55">
        <f t="shared" si="44"/>
        <v>0.53949428256773047</v>
      </c>
      <c r="BW30" s="55">
        <f>'RD T1'!E232</f>
        <v>2.6192257480163064</v>
      </c>
      <c r="BX30" s="55">
        <f t="shared" si="45"/>
        <v>3.1587200305840368</v>
      </c>
      <c r="BZ30" t="str">
        <f t="shared" si="46"/>
        <v>81 Process, plant and machine operatives</v>
      </c>
      <c r="CA30" s="55">
        <v>5.6788145050731913</v>
      </c>
      <c r="CB30" s="55">
        <v>5.0967521081748171</v>
      </c>
      <c r="CC30" s="55">
        <v>4.356130214201861</v>
      </c>
      <c r="CD30" s="55">
        <v>3.9997412712852163</v>
      </c>
      <c r="CE30" s="55">
        <v>1.8570656265852192</v>
      </c>
      <c r="CF30" s="55"/>
      <c r="CG30" s="55">
        <f t="shared" si="47"/>
        <v>-2.4990645876166417</v>
      </c>
      <c r="CH30" s="55">
        <f>'RD T1'!E261</f>
        <v>1.2319562167523013</v>
      </c>
      <c r="CI30" s="55">
        <f t="shared" si="48"/>
        <v>-1.2671083708643405</v>
      </c>
      <c r="CK30" t="str">
        <f t="shared" si="49"/>
        <v>81 Process, plant and machine operatives</v>
      </c>
      <c r="CL30" s="55">
        <v>4.2533368719901725</v>
      </c>
      <c r="CM30" s="55">
        <v>2.8857002497704802</v>
      </c>
      <c r="CN30" s="55">
        <v>2.5060065470592061</v>
      </c>
      <c r="CO30" s="55">
        <v>0.84341557039539405</v>
      </c>
      <c r="CP30" s="55">
        <v>0.28710650314188546</v>
      </c>
      <c r="CQ30" s="55"/>
      <c r="CR30" s="55">
        <f t="shared" si="50"/>
        <v>-2.2189000439173205</v>
      </c>
      <c r="CS30" s="55">
        <f>'RD T1'!E290</f>
        <v>0.21495332440246118</v>
      </c>
      <c r="CT30" s="55">
        <f t="shared" si="51"/>
        <v>-2.0039467195148593</v>
      </c>
    </row>
    <row r="31" spans="1:98">
      <c r="A31" s="10" t="str">
        <f>name!D27</f>
        <v>82 Transport and mobile machine drivers and operatives</v>
      </c>
      <c r="B31" s="55">
        <v>3.820196966885285E-2</v>
      </c>
      <c r="C31" s="55">
        <v>6.0403583980372336E-2</v>
      </c>
      <c r="D31" s="55">
        <v>4.4896392351767039E-2</v>
      </c>
      <c r="E31" s="55">
        <v>7.3690673179661104E-2</v>
      </c>
      <c r="F31" s="55">
        <v>0.13650807869578965</v>
      </c>
      <c r="G31" s="11"/>
      <c r="H31" s="55">
        <f t="shared" si="26"/>
        <v>9.1611686344022614E-2</v>
      </c>
      <c r="I31" s="55">
        <f>'RD T1'!E59</f>
        <v>5.388023131206765E-2</v>
      </c>
      <c r="J31" s="55">
        <f t="shared" si="27"/>
        <v>0.14549191765609026</v>
      </c>
      <c r="L31" t="str">
        <f t="shared" si="28"/>
        <v>82 Transport and mobile machine drivers and operatives</v>
      </c>
      <c r="M31" s="55">
        <v>0.23094573848576516</v>
      </c>
      <c r="N31" s="55">
        <v>0.31901844989483419</v>
      </c>
      <c r="O31" s="55">
        <v>0.2518217531900796</v>
      </c>
      <c r="P31" s="55">
        <v>0.38713829621548096</v>
      </c>
      <c r="Q31" s="55">
        <v>0.68266870640845356</v>
      </c>
      <c r="R31" s="11"/>
      <c r="S31" s="55">
        <f t="shared" si="29"/>
        <v>0.43084695321837396</v>
      </c>
      <c r="T31" s="55">
        <f>'RD T1'!E88</f>
        <v>0.27268372979366251</v>
      </c>
      <c r="U31" s="55">
        <f t="shared" si="30"/>
        <v>0.70353068301203647</v>
      </c>
      <c r="W31" t="str">
        <f t="shared" si="31"/>
        <v>82 Transport and mobile machine drivers and operatives</v>
      </c>
      <c r="X31" s="55">
        <v>0.83566751557848262</v>
      </c>
      <c r="Y31" s="55">
        <v>0.93064063846110334</v>
      </c>
      <c r="Z31" s="55">
        <v>0.91450947971928243</v>
      </c>
      <c r="AA31" s="55">
        <v>1.1915919515381821</v>
      </c>
      <c r="AB31" s="55">
        <v>1.7062609715757153</v>
      </c>
      <c r="AC31" s="55"/>
      <c r="AD31" s="55">
        <f t="shared" si="32"/>
        <v>0.7917514918564329</v>
      </c>
      <c r="AE31" s="55">
        <f>'RD T1'!E117</f>
        <v>0.86903798771679042</v>
      </c>
      <c r="AF31" s="55">
        <f t="shared" si="33"/>
        <v>1.6607894795732232</v>
      </c>
      <c r="AH31" t="str">
        <f t="shared" si="34"/>
        <v>82 Transport and mobile machine drivers and operatives</v>
      </c>
      <c r="AI31" s="55">
        <v>0.46656768396850667</v>
      </c>
      <c r="AJ31" s="55">
        <v>0.49801865642958715</v>
      </c>
      <c r="AK31" s="55">
        <v>0.46228951818627984</v>
      </c>
      <c r="AL31" s="55">
        <v>0.57349401641483999</v>
      </c>
      <c r="AM31" s="55">
        <v>0.73448343883999434</v>
      </c>
      <c r="AN31" s="55"/>
      <c r="AO31" s="55">
        <f t="shared" si="35"/>
        <v>0.27219392065371451</v>
      </c>
      <c r="AP31" s="55">
        <f>'RD T1'!E146</f>
        <v>0.38590528318381845</v>
      </c>
      <c r="AQ31" s="55">
        <f t="shared" si="36"/>
        <v>0.65809920383753295</v>
      </c>
      <c r="AS31" t="str">
        <f t="shared" si="37"/>
        <v>82 Transport and mobile machine drivers and operatives</v>
      </c>
      <c r="AT31" s="55">
        <v>0.76339965937446475</v>
      </c>
      <c r="AU31" s="55">
        <v>0.75581052259801551</v>
      </c>
      <c r="AV31" s="55">
        <v>0.71683022955518472</v>
      </c>
      <c r="AW31" s="55">
        <v>0.8404349564944823</v>
      </c>
      <c r="AX31" s="55">
        <v>1.0343822897184964</v>
      </c>
      <c r="AY31" s="55"/>
      <c r="AZ31" s="55">
        <f t="shared" si="38"/>
        <v>0.31755206016331172</v>
      </c>
      <c r="BA31" s="55">
        <f>'RD T1'!E175</f>
        <v>0.5732819889525117</v>
      </c>
      <c r="BB31" s="55">
        <f t="shared" si="39"/>
        <v>0.89083404911582342</v>
      </c>
      <c r="BD31" t="str">
        <f t="shared" si="40"/>
        <v>82 Transport and mobile machine drivers and operatives</v>
      </c>
      <c r="BE31" s="55">
        <v>3.9182998343196416</v>
      </c>
      <c r="BF31" s="55">
        <v>4.452527290180865</v>
      </c>
      <c r="BG31" s="55">
        <v>4.060518801781039</v>
      </c>
      <c r="BH31" s="55">
        <v>4.8423581630357617</v>
      </c>
      <c r="BI31" s="55">
        <v>5.6997063198424698</v>
      </c>
      <c r="BJ31" s="55"/>
      <c r="BK31" s="55">
        <f t="shared" si="41"/>
        <v>1.6391875180614308</v>
      </c>
      <c r="BL31" s="55">
        <f>'RD T1'!E204</f>
        <v>2.568255410266473</v>
      </c>
      <c r="BM31" s="55">
        <f t="shared" si="42"/>
        <v>4.2074429283279038</v>
      </c>
      <c r="BO31" t="str">
        <f t="shared" si="43"/>
        <v>82 Transport and mobile machine drivers and operatives</v>
      </c>
      <c r="BP31" s="55">
        <v>7.076506773227579</v>
      </c>
      <c r="BQ31" s="55">
        <v>7.8789828026780517</v>
      </c>
      <c r="BR31" s="55">
        <v>6.5424843653972822</v>
      </c>
      <c r="BS31" s="55">
        <v>7.8831573466612817</v>
      </c>
      <c r="BT31" s="55">
        <v>8.243689051192499</v>
      </c>
      <c r="BU31" s="55"/>
      <c r="BV31" s="55">
        <f t="shared" si="44"/>
        <v>1.7012046857952168</v>
      </c>
      <c r="BW31" s="55">
        <f>'RD T1'!E233</f>
        <v>4.4828400000748392</v>
      </c>
      <c r="BX31" s="55">
        <f t="shared" si="45"/>
        <v>6.184044685870056</v>
      </c>
      <c r="BZ31" t="str">
        <f t="shared" si="46"/>
        <v>82 Transport and mobile machine drivers and operatives</v>
      </c>
      <c r="CA31" s="55">
        <v>6.6315139071686442</v>
      </c>
      <c r="CB31" s="55">
        <v>5.9201912499763161</v>
      </c>
      <c r="CC31" s="55">
        <v>5.3205790763657879</v>
      </c>
      <c r="CD31" s="55">
        <v>4.7500481721737113</v>
      </c>
      <c r="CE31" s="55">
        <v>3.5482319367690311</v>
      </c>
      <c r="CF31" s="55"/>
      <c r="CG31" s="55">
        <f t="shared" si="47"/>
        <v>-1.7723471395967567</v>
      </c>
      <c r="CH31" s="55">
        <f>'RD T1'!E262</f>
        <v>2.0476353812307573</v>
      </c>
      <c r="CI31" s="55">
        <f t="shared" si="48"/>
        <v>0.27528824163400056</v>
      </c>
      <c r="CK31" t="str">
        <f t="shared" si="49"/>
        <v>82 Transport and mobile machine drivers and operatives</v>
      </c>
      <c r="CL31" s="55">
        <v>4.1619040312915905</v>
      </c>
      <c r="CM31" s="55">
        <v>4.0198215082987101</v>
      </c>
      <c r="CN31" s="55">
        <v>3.6615266969888709</v>
      </c>
      <c r="CO31" s="55">
        <v>2.1983204807829981</v>
      </c>
      <c r="CP31" s="55">
        <v>0.89948157343900803</v>
      </c>
      <c r="CQ31" s="55"/>
      <c r="CR31" s="55">
        <f t="shared" si="50"/>
        <v>-2.7620451235498629</v>
      </c>
      <c r="CS31" s="55">
        <f>'RD T1'!E291</f>
        <v>0.77732930445290449</v>
      </c>
      <c r="CT31" s="55">
        <f t="shared" si="51"/>
        <v>-1.9847158190969583</v>
      </c>
    </row>
    <row r="32" spans="1:98">
      <c r="A32" s="10" t="str">
        <f>name!D28</f>
        <v>91 Elementary trades and related occupations</v>
      </c>
      <c r="B32" s="55">
        <v>3.7590641603887676E-4</v>
      </c>
      <c r="C32" s="55">
        <v>3.6353831226516739E-4</v>
      </c>
      <c r="D32" s="55">
        <v>2.8813887556975441E-4</v>
      </c>
      <c r="E32" s="55">
        <v>1.6155732520891769E-3</v>
      </c>
      <c r="F32" s="55">
        <v>4.3909057999789941E-3</v>
      </c>
      <c r="G32" s="11"/>
      <c r="H32" s="55">
        <f t="shared" si="26"/>
        <v>4.10276692440924E-3</v>
      </c>
      <c r="I32" s="55">
        <f>'RD T1'!E60</f>
        <v>1.6241935819812606E-3</v>
      </c>
      <c r="J32" s="55">
        <f t="shared" si="27"/>
        <v>5.7269605063905004E-3</v>
      </c>
      <c r="L32" t="str">
        <f t="shared" si="28"/>
        <v>91 Elementary trades and related occupations</v>
      </c>
      <c r="M32" s="55">
        <v>9.4944692388493804E-2</v>
      </c>
      <c r="N32" s="55">
        <v>0.11747949999425013</v>
      </c>
      <c r="O32" s="55">
        <v>8.233820284885178E-2</v>
      </c>
      <c r="P32" s="55">
        <v>0.22716710764998449</v>
      </c>
      <c r="Q32" s="55">
        <v>0.56150173500271827</v>
      </c>
      <c r="R32" s="11"/>
      <c r="S32" s="55">
        <f t="shared" si="29"/>
        <v>0.47916353215386648</v>
      </c>
      <c r="T32" s="55">
        <f>'RD T1'!E89</f>
        <v>0.19472164215280194</v>
      </c>
      <c r="U32" s="55">
        <f t="shared" si="30"/>
        <v>0.67388517430666839</v>
      </c>
      <c r="W32" t="str">
        <f t="shared" si="31"/>
        <v>91 Elementary trades and related occupations</v>
      </c>
      <c r="X32" s="55">
        <v>0.39237720283047878</v>
      </c>
      <c r="Y32" s="55">
        <v>0.31424204370782349</v>
      </c>
      <c r="Z32" s="55">
        <v>0.29048266008321377</v>
      </c>
      <c r="AA32" s="55">
        <v>0.89123404617032487</v>
      </c>
      <c r="AB32" s="55">
        <v>1.4307624812938422</v>
      </c>
      <c r="AC32" s="55"/>
      <c r="AD32" s="55">
        <f t="shared" si="32"/>
        <v>1.1402798212106284</v>
      </c>
      <c r="AE32" s="55">
        <f>'RD T1'!E118</f>
        <v>0.74368921335253002</v>
      </c>
      <c r="AF32" s="55">
        <f t="shared" si="33"/>
        <v>1.8839690345631586</v>
      </c>
      <c r="AH32" t="str">
        <f t="shared" si="34"/>
        <v>91 Elementary trades and related occupations</v>
      </c>
      <c r="AI32" s="55">
        <v>0.27580342306412464</v>
      </c>
      <c r="AJ32" s="55">
        <v>0.22618035685655974</v>
      </c>
      <c r="AK32" s="55">
        <v>0.20495657990485608</v>
      </c>
      <c r="AL32" s="55">
        <v>0.56885687218169256</v>
      </c>
      <c r="AM32" s="55">
        <v>0.88279371516376515</v>
      </c>
      <c r="AN32" s="55"/>
      <c r="AO32" s="55">
        <f t="shared" si="35"/>
        <v>0.6778371352589091</v>
      </c>
      <c r="AP32" s="55">
        <f>'RD T1'!E147</f>
        <v>0.46811204008986418</v>
      </c>
      <c r="AQ32" s="55">
        <f t="shared" si="36"/>
        <v>1.1459491753487732</v>
      </c>
      <c r="AS32" t="str">
        <f t="shared" si="37"/>
        <v>91 Elementary trades and related occupations</v>
      </c>
      <c r="AT32" s="55">
        <v>0.29279876285428691</v>
      </c>
      <c r="AU32" s="55">
        <v>0.24233903645668414</v>
      </c>
      <c r="AV32" s="55">
        <v>0.23917310083157725</v>
      </c>
      <c r="AW32" s="55">
        <v>0.67833090899445125</v>
      </c>
      <c r="AX32" s="55">
        <v>1.0117713863292546</v>
      </c>
      <c r="AY32" s="55"/>
      <c r="AZ32" s="55">
        <f t="shared" si="38"/>
        <v>0.77259828549767728</v>
      </c>
      <c r="BA32" s="55">
        <f>'RD T1'!E176</f>
        <v>0.49678495259092781</v>
      </c>
      <c r="BB32" s="55">
        <f t="shared" si="39"/>
        <v>1.2693832380886052</v>
      </c>
      <c r="BD32" t="str">
        <f t="shared" si="40"/>
        <v>91 Elementary trades and related occupations</v>
      </c>
      <c r="BE32" s="55">
        <v>1.3785454954796947</v>
      </c>
      <c r="BF32" s="55">
        <v>1.333124883733001</v>
      </c>
      <c r="BG32" s="55">
        <v>1.1374593936486852</v>
      </c>
      <c r="BH32" s="55">
        <v>2.1819567882888511</v>
      </c>
      <c r="BI32" s="55">
        <v>2.8843962065397593</v>
      </c>
      <c r="BJ32" s="55"/>
      <c r="BK32" s="55">
        <f t="shared" si="41"/>
        <v>1.7469368128910741</v>
      </c>
      <c r="BL32" s="55">
        <f>'RD T1'!E205</f>
        <v>1.0204838624944956</v>
      </c>
      <c r="BM32" s="55">
        <f t="shared" si="42"/>
        <v>2.7674206753855697</v>
      </c>
      <c r="BO32" t="str">
        <f t="shared" si="43"/>
        <v>91 Elementary trades and related occupations</v>
      </c>
      <c r="BP32" s="55">
        <v>2.6803910505441078</v>
      </c>
      <c r="BQ32" s="55">
        <v>2.4655015025724429</v>
      </c>
      <c r="BR32" s="55">
        <v>2.0590194278196883</v>
      </c>
      <c r="BS32" s="55">
        <v>3.9106021761305061</v>
      </c>
      <c r="BT32" s="55">
        <v>4.4182415888379172</v>
      </c>
      <c r="BU32" s="55"/>
      <c r="BV32" s="55">
        <f t="shared" si="44"/>
        <v>2.3592221610182289</v>
      </c>
      <c r="BW32" s="55">
        <f>'RD T1'!E234</f>
        <v>1.6759981580794405</v>
      </c>
      <c r="BX32" s="55">
        <f t="shared" si="45"/>
        <v>4.0352203190976699</v>
      </c>
      <c r="BZ32" t="str">
        <f t="shared" si="46"/>
        <v>91 Elementary trades and related occupations</v>
      </c>
      <c r="CA32" s="55">
        <v>3.6636203672646119</v>
      </c>
      <c r="CB32" s="55">
        <v>3.1081519747237261</v>
      </c>
      <c r="CC32" s="55">
        <v>2.6670253289912735</v>
      </c>
      <c r="CD32" s="55">
        <v>4.1709365388823594</v>
      </c>
      <c r="CE32" s="55">
        <v>3.4732844371305114</v>
      </c>
      <c r="CF32" s="55"/>
      <c r="CG32" s="55">
        <f t="shared" si="47"/>
        <v>0.80625910813923785</v>
      </c>
      <c r="CH32" s="55">
        <f>'RD T1'!E263</f>
        <v>1.6622623516562582</v>
      </c>
      <c r="CI32" s="55">
        <f t="shared" si="48"/>
        <v>2.4685214597954959</v>
      </c>
      <c r="CK32" t="str">
        <f t="shared" si="49"/>
        <v>91 Elementary trades and related occupations</v>
      </c>
      <c r="CL32" s="55">
        <v>2.7085866793612428</v>
      </c>
      <c r="CM32" s="55">
        <v>2.0246577177732124</v>
      </c>
      <c r="CN32" s="55">
        <v>1.9171516914918572</v>
      </c>
      <c r="CO32" s="55">
        <v>2.3798120173032151</v>
      </c>
      <c r="CP32" s="55">
        <v>1.8296447519611361</v>
      </c>
      <c r="CQ32" s="55"/>
      <c r="CR32" s="55">
        <f t="shared" si="50"/>
        <v>-8.7506939530721084E-2</v>
      </c>
      <c r="CS32" s="55">
        <f>'RD T1'!E292</f>
        <v>0.78628444670210529</v>
      </c>
      <c r="CT32" s="55">
        <f t="shared" si="51"/>
        <v>0.6987775071713842</v>
      </c>
    </row>
    <row r="33" spans="1:98">
      <c r="A33" s="10" t="str">
        <f>name!D29</f>
        <v>92 Elementary administration and service occupations</v>
      </c>
      <c r="B33" s="55">
        <v>2.6417849741303193E-2</v>
      </c>
      <c r="C33" s="55">
        <v>3.4392134349490087E-2</v>
      </c>
      <c r="D33" s="55">
        <v>3.0219019625804429E-2</v>
      </c>
      <c r="E33" s="55">
        <v>3.9030790819186735E-2</v>
      </c>
      <c r="F33" s="55">
        <v>6.3023984633075569E-2</v>
      </c>
      <c r="G33" s="11"/>
      <c r="H33" s="55">
        <f t="shared" ref="H33" si="52">F33-D33</f>
        <v>3.280496500727114E-2</v>
      </c>
      <c r="I33" s="55">
        <f>'RD T1'!E61</f>
        <v>2.3930716909883215E-2</v>
      </c>
      <c r="J33" s="55">
        <f t="shared" ref="J33" si="53">SUM(H33:I33)</f>
        <v>5.6735681917154356E-2</v>
      </c>
      <c r="L33" t="str">
        <f t="shared" ref="L33" si="54">A33</f>
        <v>92 Elementary administration and service occupations</v>
      </c>
      <c r="M33" s="55">
        <v>0.57063303165658319</v>
      </c>
      <c r="N33" s="55">
        <v>0.77750574110263626</v>
      </c>
      <c r="O33" s="55">
        <v>0.73708123360489275</v>
      </c>
      <c r="P33" s="55">
        <v>0.98723573965922162</v>
      </c>
      <c r="Q33" s="55">
        <v>1.8064625630166862</v>
      </c>
      <c r="R33" s="11"/>
      <c r="S33" s="55">
        <f t="shared" ref="S33" si="55">Q33-O33</f>
        <v>1.0693813294117933</v>
      </c>
      <c r="T33" s="55">
        <f>'RD T1'!E90</f>
        <v>0.66220527041180643</v>
      </c>
      <c r="U33" s="55">
        <f t="shared" ref="U33" si="56">SUM(S33:T33)</f>
        <v>1.7315865998235997</v>
      </c>
      <c r="W33" t="str">
        <f t="shared" ref="W33" si="57">A33</f>
        <v>92 Elementary administration and service occupations</v>
      </c>
      <c r="X33" s="55">
        <v>2.4173826847085138</v>
      </c>
      <c r="Y33" s="55">
        <v>2.399644330571939</v>
      </c>
      <c r="Z33" s="55">
        <v>2.6413229067033677</v>
      </c>
      <c r="AA33" s="55">
        <v>2.8335207875097823</v>
      </c>
      <c r="AB33" s="55">
        <v>3.4638014357797484</v>
      </c>
      <c r="AC33" s="55"/>
      <c r="AD33" s="55">
        <f t="shared" ref="AD33" si="58">AB33-Z33</f>
        <v>0.82247852907638075</v>
      </c>
      <c r="AE33" s="55">
        <f>'RD T1'!E119</f>
        <v>1.9680100392578594</v>
      </c>
      <c r="AF33" s="55">
        <f t="shared" ref="AF33" si="59">SUM(AD33:AE33)</f>
        <v>2.79048856833424</v>
      </c>
      <c r="AH33" t="str">
        <f t="shared" ref="AH33" si="60">L33</f>
        <v>92 Elementary administration and service occupations</v>
      </c>
      <c r="AI33" s="55">
        <v>1.1829153515110173</v>
      </c>
      <c r="AJ33" s="55">
        <v>1.1419215154375471</v>
      </c>
      <c r="AK33" s="55">
        <v>1.2543753307393342</v>
      </c>
      <c r="AL33" s="55">
        <v>1.3114934307396355</v>
      </c>
      <c r="AM33" s="55">
        <v>1.7025810300778372</v>
      </c>
      <c r="AN33" s="55"/>
      <c r="AO33" s="55">
        <f t="shared" ref="AO33" si="61">AM33-AK33</f>
        <v>0.44820569933850307</v>
      </c>
      <c r="AP33" s="55">
        <f>'RD T1'!E148</f>
        <v>0.86732867628261101</v>
      </c>
      <c r="AQ33" s="55">
        <f t="shared" ref="AQ33" si="62">SUM(AO33:AP33)</f>
        <v>1.3155343756211142</v>
      </c>
      <c r="AS33" t="str">
        <f t="shared" ref="AS33" si="63">W33</f>
        <v>92 Elementary administration and service occupations</v>
      </c>
      <c r="AT33" s="55">
        <v>1.1226203795994012</v>
      </c>
      <c r="AU33" s="55">
        <v>1.0823722382523213</v>
      </c>
      <c r="AV33" s="55">
        <v>1.1941374659678323</v>
      </c>
      <c r="AW33" s="55">
        <v>1.225871097942594</v>
      </c>
      <c r="AX33" s="55">
        <v>1.5497068647464707</v>
      </c>
      <c r="AY33" s="55"/>
      <c r="AZ33" s="55">
        <f t="shared" ref="AZ33" si="64">AX33-AV33</f>
        <v>0.35556939877863836</v>
      </c>
      <c r="BA33" s="55">
        <f>'RD T1'!E177</f>
        <v>0.82051324101484202</v>
      </c>
      <c r="BB33" s="55">
        <f t="shared" ref="BB33" si="65">SUM(AZ33:BA33)</f>
        <v>1.1760826397934805</v>
      </c>
      <c r="BD33" t="str">
        <f t="shared" ref="BD33" si="66">AH33</f>
        <v>92 Elementary administration and service occupations</v>
      </c>
      <c r="BE33" s="55">
        <v>6.8626022170124301</v>
      </c>
      <c r="BF33" s="55">
        <v>6.6916251812528804</v>
      </c>
      <c r="BG33" s="55">
        <v>6.1912334318314324</v>
      </c>
      <c r="BH33" s="55">
        <v>5.5499312870307387</v>
      </c>
      <c r="BI33" s="55">
        <v>4.9460314313631795</v>
      </c>
      <c r="BJ33" s="55"/>
      <c r="BK33" s="55">
        <f t="shared" ref="BK33" si="67">BI33-BG33</f>
        <v>-1.2452020004682529</v>
      </c>
      <c r="BL33" s="55">
        <f>'RD T1'!E206</f>
        <v>2.5832101706434947</v>
      </c>
      <c r="BM33" s="55">
        <f t="shared" ref="BM33" si="68">SUM(BK33:BL33)</f>
        <v>1.3380081701752418</v>
      </c>
      <c r="BO33" t="str">
        <f t="shared" ref="BO33" si="69">AS33</f>
        <v>92 Elementary administration and service occupations</v>
      </c>
      <c r="BP33" s="55">
        <v>12.752365486209147</v>
      </c>
      <c r="BQ33" s="55">
        <v>13.161509556921764</v>
      </c>
      <c r="BR33" s="55">
        <v>10.801026085895028</v>
      </c>
      <c r="BS33" s="55">
        <v>10.868004462729548</v>
      </c>
      <c r="BT33" s="55">
        <v>9.7307374286109134</v>
      </c>
      <c r="BU33" s="55"/>
      <c r="BV33" s="55">
        <f t="shared" ref="BV33" si="70">BT33-BR33</f>
        <v>-1.0702886572841148</v>
      </c>
      <c r="BW33" s="55">
        <f>'RD T1'!E235</f>
        <v>5.2595955435450481</v>
      </c>
      <c r="BX33" s="55">
        <f t="shared" ref="BX33" si="71">SUM(BV33:BW33)</f>
        <v>4.1893068862609333</v>
      </c>
      <c r="BZ33" t="str">
        <f t="shared" ref="BZ33" si="72">BD33</f>
        <v>92 Elementary administration and service occupations</v>
      </c>
      <c r="CA33" s="55">
        <v>11.79982424486613</v>
      </c>
      <c r="CB33" s="55">
        <v>10.738818823747891</v>
      </c>
      <c r="CC33" s="55">
        <v>9.2319589785710523</v>
      </c>
      <c r="CD33" s="55">
        <v>7.49635908974646</v>
      </c>
      <c r="CE33" s="55">
        <v>4.7408136531862057</v>
      </c>
      <c r="CF33" s="55"/>
      <c r="CG33" s="55">
        <f t="shared" ref="CG33" si="73">CE33-CC33</f>
        <v>-4.4911453253848466</v>
      </c>
      <c r="CH33" s="55">
        <f>'RD T1'!E264</f>
        <v>2.7616875827452185</v>
      </c>
      <c r="CI33" s="55">
        <f t="shared" ref="CI33" si="74">SUM(CG33:CH33)</f>
        <v>-1.729457742639628</v>
      </c>
      <c r="CK33" t="str">
        <f t="shared" ref="CK33" si="75">BO33</f>
        <v>92 Elementary administration and service occupations</v>
      </c>
      <c r="CL33" s="55">
        <v>8.7377334885472564</v>
      </c>
      <c r="CM33" s="55">
        <v>5.7391211313016184</v>
      </c>
      <c r="CN33" s="55">
        <v>5.6075842246575638</v>
      </c>
      <c r="CO33" s="55">
        <v>2.9126967636099148</v>
      </c>
      <c r="CP33" s="55">
        <v>1.4780064718658348</v>
      </c>
      <c r="CQ33" s="55"/>
      <c r="CR33" s="55">
        <f t="shared" ref="CR33" si="76">CP33-CN33</f>
        <v>-4.1295777527917288</v>
      </c>
      <c r="CS33" s="55">
        <f>'RD T1'!E293</f>
        <v>0.80154576182449222</v>
      </c>
      <c r="CT33" s="55">
        <f t="shared" ref="CT33" si="77">SUM(CR33:CS33)</f>
        <v>-3.3280319909672365</v>
      </c>
    </row>
    <row r="34" spans="1:98">
      <c r="B34" s="11"/>
      <c r="C34" s="11"/>
      <c r="D34" s="11"/>
      <c r="E34" s="11"/>
      <c r="F34" s="11"/>
      <c r="G34" s="11"/>
      <c r="H34" s="55"/>
      <c r="I34" s="55"/>
      <c r="J34" s="55"/>
      <c r="M34" s="55"/>
      <c r="N34" s="55"/>
      <c r="O34" s="55"/>
      <c r="P34" s="55"/>
      <c r="Q34" s="55"/>
      <c r="R34" s="11"/>
      <c r="S34" s="55"/>
      <c r="T34" s="55"/>
      <c r="U34" s="55"/>
      <c r="X34" s="55"/>
      <c r="Y34" s="55"/>
      <c r="Z34" s="55"/>
      <c r="AA34" s="55"/>
      <c r="AB34" s="55"/>
      <c r="AC34" s="55"/>
      <c r="AD34" s="55"/>
      <c r="AE34" s="55"/>
      <c r="AF34" s="55"/>
      <c r="AI34" s="55"/>
      <c r="AJ34" s="55"/>
      <c r="AK34" s="55"/>
      <c r="AL34" s="55"/>
      <c r="AM34" s="55"/>
      <c r="AN34" s="55"/>
      <c r="AO34" s="55"/>
      <c r="AP34" s="55"/>
      <c r="AQ34" s="55"/>
      <c r="AT34" s="55"/>
      <c r="AU34" s="55"/>
      <c r="AV34" s="55"/>
      <c r="AW34" s="55"/>
      <c r="AX34" s="55"/>
      <c r="AY34" s="55"/>
      <c r="AZ34" s="55"/>
      <c r="BA34" s="55"/>
      <c r="BB34" s="55"/>
      <c r="BE34" s="55"/>
      <c r="BF34" s="55"/>
      <c r="BG34" s="55"/>
      <c r="BH34" s="55"/>
      <c r="BI34" s="55"/>
      <c r="BJ34" s="55"/>
      <c r="BK34" s="55"/>
      <c r="BL34" s="55"/>
      <c r="BM34" s="55"/>
      <c r="BP34" s="55"/>
      <c r="BQ34" s="55"/>
      <c r="BR34" s="55"/>
      <c r="BS34" s="55"/>
      <c r="BT34" s="55"/>
      <c r="BU34" s="55"/>
      <c r="BV34" s="55"/>
      <c r="BW34" s="55"/>
      <c r="BX34" s="55"/>
      <c r="CA34" s="55"/>
      <c r="CB34" s="55"/>
      <c r="CC34" s="55"/>
      <c r="CD34" s="55"/>
      <c r="CE34" s="55"/>
      <c r="CF34" s="55"/>
      <c r="CG34" s="55"/>
      <c r="CH34" s="55"/>
      <c r="CI34" s="55"/>
      <c r="CL34" s="55"/>
      <c r="CM34" s="55"/>
      <c r="CN34" s="55"/>
      <c r="CO34" s="55"/>
      <c r="CP34" s="55"/>
      <c r="CQ34" s="55"/>
      <c r="CR34" s="55"/>
      <c r="CS34" s="55"/>
      <c r="CT34" s="55"/>
    </row>
    <row r="35" spans="1:98">
      <c r="A35" s="208" t="str">
        <f>name!D3</f>
        <v>All occupations</v>
      </c>
      <c r="B35" s="54">
        <f>SUM(B8:B33)</f>
        <v>5.3073112621041894</v>
      </c>
      <c r="C35" s="54">
        <f t="shared" ref="C35:F35" si="78">SUM(C8:C33)</f>
        <v>7.3068406233037173</v>
      </c>
      <c r="D35" s="54">
        <f t="shared" si="78"/>
        <v>7.0915685334472123</v>
      </c>
      <c r="E35" s="54">
        <f t="shared" si="78"/>
        <v>9.1694021499465546</v>
      </c>
      <c r="F35" s="54">
        <f t="shared" si="78"/>
        <v>13.476587127561658</v>
      </c>
      <c r="G35" s="11"/>
      <c r="H35" s="54">
        <f>F35-D35</f>
        <v>6.3850185941144453</v>
      </c>
      <c r="I35" s="54">
        <f>SUM(I8:I33)</f>
        <v>4.7951940249128757</v>
      </c>
      <c r="J35" s="54">
        <f>SUM(H35:I35)</f>
        <v>11.180212619027321</v>
      </c>
      <c r="L35" s="22" t="str">
        <f>A35</f>
        <v>All occupations</v>
      </c>
      <c r="M35" s="54">
        <f>SUM(M8:M33)</f>
        <v>34.372407642251311</v>
      </c>
      <c r="N35" s="54">
        <f t="shared" ref="N35:Q35" si="79">SUM(N8:N33)</f>
        <v>47.972540866402213</v>
      </c>
      <c r="O35" s="54">
        <f t="shared" si="79"/>
        <v>47.914110923791952</v>
      </c>
      <c r="P35" s="54">
        <f t="shared" si="79"/>
        <v>60.818658304566441</v>
      </c>
      <c r="Q35" s="54">
        <f t="shared" si="79"/>
        <v>89.274782430541549</v>
      </c>
      <c r="R35" s="11"/>
      <c r="S35" s="54">
        <f t="shared" si="29"/>
        <v>41.360671506749597</v>
      </c>
      <c r="T35" s="54">
        <f>SUM(T8:T33)</f>
        <v>33.58553851456778</v>
      </c>
      <c r="U35" s="54">
        <f>SUM(S35:T35)</f>
        <v>74.94621002131737</v>
      </c>
      <c r="W35" s="22" t="str">
        <f>A35</f>
        <v>All occupations</v>
      </c>
      <c r="X35" s="54">
        <f>SUM(X8:X33)</f>
        <v>83.671480205468669</v>
      </c>
      <c r="Y35" s="54">
        <f t="shared" ref="Y35:AB35" si="80">SUM(Y8:Y33)</f>
        <v>81.914992761114334</v>
      </c>
      <c r="Z35" s="54">
        <f t="shared" si="80"/>
        <v>91.033181866654544</v>
      </c>
      <c r="AA35" s="54">
        <f t="shared" si="80"/>
        <v>97.545774606448276</v>
      </c>
      <c r="AB35" s="54">
        <f t="shared" si="80"/>
        <v>112.29678035556742</v>
      </c>
      <c r="AC35" s="55"/>
      <c r="AD35" s="54">
        <f t="shared" ref="AD35" si="81">AB35-Z35</f>
        <v>21.263598488912876</v>
      </c>
      <c r="AE35" s="54">
        <f>SUM(AE8:AE33)</f>
        <v>56.735715122556407</v>
      </c>
      <c r="AF35" s="54">
        <f>SUM(AD35:AE35)</f>
        <v>77.99931361146929</v>
      </c>
      <c r="AH35" s="22" t="str">
        <f>L35</f>
        <v>All occupations</v>
      </c>
      <c r="AI35" s="54">
        <f>SUM(AI8:AI33)</f>
        <v>27.262700234542422</v>
      </c>
      <c r="AJ35" s="54">
        <f t="shared" ref="AJ35:AM35" si="82">SUM(AJ8:AJ33)</f>
        <v>24.998245553760142</v>
      </c>
      <c r="AK35" s="54">
        <f t="shared" si="82"/>
        <v>27.828114439543285</v>
      </c>
      <c r="AL35" s="54">
        <f t="shared" si="82"/>
        <v>27.092094788061463</v>
      </c>
      <c r="AM35" s="54">
        <f t="shared" si="82"/>
        <v>29.363125462266954</v>
      </c>
      <c r="AN35" s="55"/>
      <c r="AO35" s="54">
        <f t="shared" ref="AO35" si="83">AM35-AK35</f>
        <v>1.5350110227236691</v>
      </c>
      <c r="AP35" s="54">
        <f>SUM(AP8:AP33)</f>
        <v>15.019741836005547</v>
      </c>
      <c r="AQ35" s="54">
        <f>SUM(AO35:AP35)</f>
        <v>16.554752858729216</v>
      </c>
      <c r="AS35" s="22" t="str">
        <f>W35</f>
        <v>All occupations</v>
      </c>
      <c r="AT35" s="54">
        <f>SUM(AT8:AT33)</f>
        <v>26.614616285853849</v>
      </c>
      <c r="AU35" s="54">
        <f t="shared" ref="AU35:AX35" si="84">SUM(AU8:AU33)</f>
        <v>24.767108663845466</v>
      </c>
      <c r="AV35" s="54">
        <f t="shared" si="84"/>
        <v>26.960304923339166</v>
      </c>
      <c r="AW35" s="54">
        <f t="shared" si="84"/>
        <v>27.933787823735219</v>
      </c>
      <c r="AX35" s="54">
        <f t="shared" si="84"/>
        <v>31.755382202989345</v>
      </c>
      <c r="AY35" s="55"/>
      <c r="AZ35" s="54">
        <f t="shared" ref="AZ35" si="85">AX35-AV35</f>
        <v>4.7950772796501795</v>
      </c>
      <c r="BA35" s="54">
        <f>SUM(BA8:BA33)</f>
        <v>15.058075897480387</v>
      </c>
      <c r="BB35" s="54">
        <f>SUM(AZ35:BA35)</f>
        <v>19.853153177130565</v>
      </c>
      <c r="BD35" s="22" t="str">
        <f>AH35</f>
        <v>All occupations</v>
      </c>
      <c r="BE35" s="54">
        <f>SUM(BE8:BE33)</f>
        <v>101.26753787756181</v>
      </c>
      <c r="BF35" s="54">
        <f t="shared" ref="BF35:BI35" si="86">SUM(BF8:BF33)</f>
        <v>109.81054068418119</v>
      </c>
      <c r="BG35" s="54">
        <f t="shared" si="86"/>
        <v>104.45390013907631</v>
      </c>
      <c r="BH35" s="54">
        <f t="shared" si="86"/>
        <v>109.27689045318868</v>
      </c>
      <c r="BI35" s="54">
        <f t="shared" si="86"/>
        <v>110.31070181595217</v>
      </c>
      <c r="BJ35" s="55"/>
      <c r="BK35" s="54">
        <f t="shared" ref="BK35" si="87">BI35-BG35</f>
        <v>5.8568016768758611</v>
      </c>
      <c r="BL35" s="54">
        <f>SUM(BL8:BL33)</f>
        <v>48.736537431972828</v>
      </c>
      <c r="BM35" s="54">
        <f>SUM(BK35:BL35)</f>
        <v>54.593339108848689</v>
      </c>
      <c r="BO35" s="22" t="str">
        <f>AS35</f>
        <v>All occupations</v>
      </c>
      <c r="BP35" s="54">
        <f>SUM(BP8:BP33)</f>
        <v>111.83473985337373</v>
      </c>
      <c r="BQ35" s="54">
        <f t="shared" ref="BQ35:BT35" si="88">SUM(BQ8:BQ33)</f>
        <v>114.81041065304427</v>
      </c>
      <c r="BR35" s="54">
        <f t="shared" si="88"/>
        <v>99.097694185079135</v>
      </c>
      <c r="BS35" s="54">
        <f t="shared" si="88"/>
        <v>104.59848858249424</v>
      </c>
      <c r="BT35" s="54">
        <f t="shared" si="88"/>
        <v>91.393991461314428</v>
      </c>
      <c r="BU35" s="55"/>
      <c r="BV35" s="54">
        <f t="shared" ref="BV35" si="89">BT35-BR35</f>
        <v>-7.7037027237647067</v>
      </c>
      <c r="BW35" s="54">
        <f>SUM(BW8:BW33)</f>
        <v>47.034586230722482</v>
      </c>
      <c r="BX35" s="54">
        <f>SUM(BV35:BW35)</f>
        <v>39.330883506957775</v>
      </c>
      <c r="BZ35" s="22" t="str">
        <f>BD35</f>
        <v>All occupations</v>
      </c>
      <c r="CA35" s="54">
        <f>SUM(CA8:CA33)</f>
        <v>74.233403679264796</v>
      </c>
      <c r="CB35" s="54">
        <f t="shared" ref="CB35:CE35" si="90">SUM(CB8:CB33)</f>
        <v>65.981308811181776</v>
      </c>
      <c r="CC35" s="54">
        <f t="shared" si="90"/>
        <v>60.025143488041756</v>
      </c>
      <c r="CD35" s="54">
        <f t="shared" si="90"/>
        <v>51.781456172775407</v>
      </c>
      <c r="CE35" s="54">
        <f t="shared" si="90"/>
        <v>31.922824506490013</v>
      </c>
      <c r="CF35" s="55"/>
      <c r="CG35" s="54">
        <f t="shared" ref="CG35" si="91">CE35-CC35</f>
        <v>-28.102318981551743</v>
      </c>
      <c r="CH35" s="54">
        <f>SUM(CH8:CH33)</f>
        <v>18.511091400538422</v>
      </c>
      <c r="CI35" s="54">
        <f>SUM(CG35:CH35)</f>
        <v>-9.591227581013321</v>
      </c>
      <c r="CK35" s="22" t="str">
        <f>BO35</f>
        <v>All occupations</v>
      </c>
      <c r="CL35" s="54">
        <f>SUM(CL8:CL33)</f>
        <v>40.997802959579282</v>
      </c>
      <c r="CM35" s="54">
        <f t="shared" ref="CM35:CP35" si="92">SUM(CM8:CM33)</f>
        <v>32.369011383166665</v>
      </c>
      <c r="CN35" s="54">
        <f t="shared" si="92"/>
        <v>31.789981501026592</v>
      </c>
      <c r="CO35" s="54">
        <f t="shared" si="92"/>
        <v>19.911447118783805</v>
      </c>
      <c r="CP35" s="54">
        <f t="shared" si="92"/>
        <v>12.149824637316081</v>
      </c>
      <c r="CQ35" s="55"/>
      <c r="CR35" s="54">
        <f t="shared" ref="CR35" si="93">CP35-CN35</f>
        <v>-19.640156863710509</v>
      </c>
      <c r="CS35" s="54">
        <f>SUM(CS8:CS33)</f>
        <v>6.2417331481104696</v>
      </c>
      <c r="CT35" s="54">
        <f>SUM(CR35:CS35)</f>
        <v>-13.398423715600039</v>
      </c>
    </row>
    <row r="38" spans="1:98" ht="52.5" customHeight="1">
      <c r="A38" s="353" t="str">
        <f>CONCATENATE(A$1," (Continued)")</f>
        <v>Basic Table 2  Employment Change by Occupation and Replacement Demand, RQF8 Doctorate, 2015-2035, Black Country (Continued)</v>
      </c>
      <c r="B38" s="353"/>
      <c r="C38" s="353"/>
      <c r="D38" s="353"/>
      <c r="E38" s="353"/>
      <c r="F38" s="353"/>
      <c r="G38" s="353"/>
      <c r="H38" s="353"/>
      <c r="I38" s="353"/>
      <c r="J38" s="353"/>
      <c r="L38" s="353" t="str">
        <f>CONCATENATE(L$1," (Continued)")</f>
        <v>Basic Table 2.1  Employment Change by Occupation and Replacement Demand, RQF7 Other higher degree, 2015-2035, Black Country (Continued)</v>
      </c>
      <c r="M38" s="353"/>
      <c r="N38" s="353"/>
      <c r="O38" s="353"/>
      <c r="P38" s="353"/>
      <c r="Q38" s="353"/>
      <c r="R38" s="353"/>
      <c r="S38" s="353"/>
      <c r="T38" s="353"/>
      <c r="U38" s="353"/>
      <c r="W38" s="353" t="str">
        <f>CONCATENATE(W$1," (Continued)")</f>
        <v>Basic Table 2.2  Employment Change by Occupation and Replacement Demand, RQF6 First degree, 2015-2035, Black Country (Continued)</v>
      </c>
      <c r="X38" s="353"/>
      <c r="Y38" s="353"/>
      <c r="Z38" s="353"/>
      <c r="AA38" s="353"/>
      <c r="AB38" s="353"/>
      <c r="AC38" s="353"/>
      <c r="AD38" s="353"/>
      <c r="AE38" s="353"/>
      <c r="AF38" s="353"/>
      <c r="AH38" s="353" t="str">
        <f>CONCATENATE(AH$1," (Continued)")</f>
        <v>Basic Table 2.3  Employment Change by Occupation and Replacement Demand, RQF5 Foundation degree;Nursing;Teaching, 2015-2035, Black Country (Continued)</v>
      </c>
      <c r="AI38" s="353"/>
      <c r="AJ38" s="353"/>
      <c r="AK38" s="353"/>
      <c r="AL38" s="353"/>
      <c r="AM38" s="353"/>
      <c r="AN38" s="353"/>
      <c r="AO38" s="353"/>
      <c r="AP38" s="353"/>
      <c r="AQ38" s="353"/>
      <c r="AS38" s="353" t="str">
        <f>CONCATENATE(AS$1," (Continued)")</f>
        <v>Basic Table 2.4  Employment Change by Occupation and Replacement Demand, RQF4 HE below degree level, 2015-2035, Black Country (Continued)</v>
      </c>
      <c r="AT38" s="353"/>
      <c r="AU38" s="353"/>
      <c r="AV38" s="353"/>
      <c r="AW38" s="353"/>
      <c r="AX38" s="353"/>
      <c r="AY38" s="353"/>
      <c r="AZ38" s="353"/>
      <c r="BA38" s="353"/>
      <c r="BB38" s="353"/>
      <c r="BD38" s="353" t="str">
        <f>CONCATENATE(BD$1," (Continued)")</f>
        <v>Basic Table 2.5  Employment Change by Occupation and Replacement Demand, RQF3 A level &amp; equivalent, 2015-2035, Black Country (Continued)</v>
      </c>
      <c r="BE38" s="353"/>
      <c r="BF38" s="353"/>
      <c r="BG38" s="353"/>
      <c r="BH38" s="353"/>
      <c r="BI38" s="353"/>
      <c r="BJ38" s="353"/>
      <c r="BK38" s="353"/>
      <c r="BL38" s="353"/>
      <c r="BM38" s="353"/>
      <c r="BO38" s="353" t="str">
        <f>CONCATENATE(BO$1," (Continued)")</f>
        <v>Basic Table 2.6  Employment Change by Occupation and Replacement Demand, RQF2 GCSE(A-C) &amp; equivalent, 2015-2035, Black Country (Continued)</v>
      </c>
      <c r="BP38" s="353"/>
      <c r="BQ38" s="353"/>
      <c r="BR38" s="353"/>
      <c r="BS38" s="353"/>
      <c r="BT38" s="353"/>
      <c r="BU38" s="353"/>
      <c r="BV38" s="353"/>
      <c r="BW38" s="353"/>
      <c r="BX38" s="353"/>
      <c r="BZ38" s="353" t="str">
        <f>CONCATENATE(BZ$1," (Continued)")</f>
        <v>Basic Table 2.7  Employment Change by Occupation and Replacement Demand, RQF1 GCSE(below grade C) &amp; equivalent, 2015-2035, Black Country (Continued)</v>
      </c>
      <c r="CA38" s="353"/>
      <c r="CB38" s="353"/>
      <c r="CC38" s="353"/>
      <c r="CD38" s="353"/>
      <c r="CE38" s="353"/>
      <c r="CF38" s="353"/>
      <c r="CG38" s="353"/>
      <c r="CH38" s="353"/>
      <c r="CI38" s="353"/>
      <c r="CK38" s="353" t="str">
        <f>CONCATENATE(CK$1," (Continued)")</f>
        <v>Basic Table 2.8  Employment Change by Occupation and Replacement Demand, No Qualification, 2015-2035, Black Country (Continued)</v>
      </c>
      <c r="CL38" s="353"/>
      <c r="CM38" s="353"/>
      <c r="CN38" s="353"/>
      <c r="CO38" s="353"/>
      <c r="CP38" s="353"/>
      <c r="CQ38" s="353"/>
      <c r="CR38" s="353"/>
      <c r="CS38" s="353"/>
      <c r="CT38" s="353"/>
    </row>
    <row r="39" spans="1:98" ht="12.75" customHeight="1"/>
    <row r="40" spans="1:98" ht="12.75" customHeight="1">
      <c r="F40" s="16" t="s">
        <v>121</v>
      </c>
      <c r="J40" s="16" t="s">
        <v>121</v>
      </c>
      <c r="Q40" s="16" t="s">
        <v>121</v>
      </c>
      <c r="U40" s="16" t="s">
        <v>121</v>
      </c>
      <c r="AB40" s="16" t="s">
        <v>121</v>
      </c>
      <c r="AF40" s="16" t="s">
        <v>121</v>
      </c>
      <c r="AM40" s="16" t="s">
        <v>121</v>
      </c>
      <c r="AQ40" s="16" t="s">
        <v>121</v>
      </c>
      <c r="AX40" s="16" t="s">
        <v>121</v>
      </c>
      <c r="BB40" s="16" t="s">
        <v>121</v>
      </c>
      <c r="BI40" s="16" t="s">
        <v>121</v>
      </c>
      <c r="BM40" s="16" t="s">
        <v>121</v>
      </c>
      <c r="BT40" s="16" t="s">
        <v>121</v>
      </c>
      <c r="BX40" s="16" t="s">
        <v>121</v>
      </c>
      <c r="CE40" s="16" t="s">
        <v>121</v>
      </c>
      <c r="CI40" s="16" t="s">
        <v>121</v>
      </c>
      <c r="CP40" s="16" t="s">
        <v>121</v>
      </c>
      <c r="CT40" s="16" t="s">
        <v>121</v>
      </c>
    </row>
    <row r="41" spans="1:98" ht="12.75" customHeight="1">
      <c r="A41" s="29"/>
      <c r="B41" s="29"/>
      <c r="C41" s="29"/>
      <c r="D41" s="29"/>
      <c r="E41" s="29"/>
      <c r="F41" s="29"/>
      <c r="H41" s="24" t="str">
        <f>$H$4</f>
        <v>2020-2035</v>
      </c>
      <c r="I41" s="29"/>
      <c r="J41" s="29"/>
      <c r="L41" s="29"/>
      <c r="M41" s="29"/>
      <c r="N41" s="29"/>
      <c r="O41" s="29"/>
      <c r="P41" s="29"/>
      <c r="Q41" s="29"/>
      <c r="S41" s="24" t="str">
        <f>$H$4</f>
        <v>2020-2035</v>
      </c>
      <c r="T41" s="29"/>
      <c r="U41" s="29"/>
      <c r="W41" s="29"/>
      <c r="X41" s="29"/>
      <c r="Y41" s="29"/>
      <c r="Z41" s="29"/>
      <c r="AA41" s="29"/>
      <c r="AB41" s="29"/>
      <c r="AD41" s="24" t="str">
        <f>$H$4</f>
        <v>2020-2035</v>
      </c>
      <c r="AE41" s="29"/>
      <c r="AF41" s="29"/>
      <c r="AH41" s="29"/>
      <c r="AI41" s="29"/>
      <c r="AJ41" s="29"/>
      <c r="AK41" s="29"/>
      <c r="AL41" s="29"/>
      <c r="AM41" s="29"/>
      <c r="AO41" s="24" t="str">
        <f>$H$4</f>
        <v>2020-2035</v>
      </c>
      <c r="AP41" s="29"/>
      <c r="AQ41" s="29"/>
      <c r="AS41" s="29"/>
      <c r="AT41" s="29"/>
      <c r="AU41" s="29"/>
      <c r="AV41" s="29"/>
      <c r="AW41" s="29"/>
      <c r="AX41" s="29"/>
      <c r="AZ41" s="24" t="str">
        <f>$H$4</f>
        <v>2020-2035</v>
      </c>
      <c r="BA41" s="29"/>
      <c r="BB41" s="29"/>
      <c r="BD41" s="29"/>
      <c r="BE41" s="29"/>
      <c r="BF41" s="29"/>
      <c r="BG41" s="29"/>
      <c r="BH41" s="29"/>
      <c r="BI41" s="29"/>
      <c r="BK41" s="24" t="str">
        <f>$H$4</f>
        <v>2020-2035</v>
      </c>
      <c r="BL41" s="29"/>
      <c r="BM41" s="29"/>
      <c r="BO41" s="29"/>
      <c r="BP41" s="29"/>
      <c r="BQ41" s="29"/>
      <c r="BR41" s="29"/>
      <c r="BS41" s="29"/>
      <c r="BT41" s="29"/>
      <c r="BV41" s="24" t="str">
        <f>$H$4</f>
        <v>2020-2035</v>
      </c>
      <c r="BW41" s="29"/>
      <c r="BX41" s="29"/>
      <c r="BZ41" s="29"/>
      <c r="CA41" s="29"/>
      <c r="CB41" s="29"/>
      <c r="CC41" s="29"/>
      <c r="CD41" s="29"/>
      <c r="CE41" s="29"/>
      <c r="CG41" s="24" t="str">
        <f>$H$4</f>
        <v>2020-2035</v>
      </c>
      <c r="CH41" s="29"/>
      <c r="CI41" s="29"/>
      <c r="CK41" s="29"/>
      <c r="CL41" s="29"/>
      <c r="CM41" s="29"/>
      <c r="CN41" s="29"/>
      <c r="CO41" s="29"/>
      <c r="CP41" s="29"/>
      <c r="CR41" s="24" t="str">
        <f>$H$4</f>
        <v>2020-2035</v>
      </c>
      <c r="CS41" s="29"/>
      <c r="CT41" s="29"/>
    </row>
    <row r="42" spans="1:98" ht="12.75" customHeight="1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>
      <c r="A43" s="32" t="s">
        <v>162</v>
      </c>
      <c r="B43" s="28">
        <f>B$6</f>
        <v>2015</v>
      </c>
      <c r="C43" s="28">
        <f>C$6</f>
        <v>2019</v>
      </c>
      <c r="D43" s="28">
        <f>D$6</f>
        <v>2020</v>
      </c>
      <c r="E43" s="28">
        <f>E$6</f>
        <v>2025</v>
      </c>
      <c r="F43" s="28">
        <f>F$6</f>
        <v>2035</v>
      </c>
      <c r="H43" s="51" t="str">
        <f t="shared" si="94"/>
        <v>Change</v>
      </c>
      <c r="I43" s="51" t="str">
        <f t="shared" si="94"/>
        <v>Demand</v>
      </c>
      <c r="J43" s="51" t="str">
        <f t="shared" si="94"/>
        <v>Requirement</v>
      </c>
      <c r="L43" s="32" t="s">
        <v>162</v>
      </c>
      <c r="M43" s="28">
        <f>M$6</f>
        <v>2015</v>
      </c>
      <c r="N43" s="28">
        <f>N$6</f>
        <v>2019</v>
      </c>
      <c r="O43" s="28">
        <f>O$6</f>
        <v>2020</v>
      </c>
      <c r="P43" s="28">
        <f>P$6</f>
        <v>2025</v>
      </c>
      <c r="Q43" s="28">
        <f>Q$6</f>
        <v>2035</v>
      </c>
      <c r="S43" s="51" t="str">
        <f t="shared" si="95"/>
        <v>Change</v>
      </c>
      <c r="T43" s="51" t="str">
        <f t="shared" si="95"/>
        <v>Demand</v>
      </c>
      <c r="U43" s="51" t="str">
        <f t="shared" si="95"/>
        <v>Requirement</v>
      </c>
      <c r="W43" s="32" t="s">
        <v>162</v>
      </c>
      <c r="X43" s="28">
        <f>X$6</f>
        <v>2015</v>
      </c>
      <c r="Y43" s="28">
        <f>Y$6</f>
        <v>2019</v>
      </c>
      <c r="Z43" s="28">
        <f>Z$6</f>
        <v>2020</v>
      </c>
      <c r="AA43" s="28">
        <f>AA$6</f>
        <v>2025</v>
      </c>
      <c r="AB43" s="28">
        <f>AB$6</f>
        <v>2035</v>
      </c>
      <c r="AD43" s="51" t="str">
        <f t="shared" si="96"/>
        <v>Change</v>
      </c>
      <c r="AE43" s="51" t="str">
        <f t="shared" si="96"/>
        <v>Demand</v>
      </c>
      <c r="AF43" s="51" t="str">
        <f t="shared" si="96"/>
        <v>Requirement</v>
      </c>
      <c r="AH43" s="32" t="s">
        <v>162</v>
      </c>
      <c r="AI43" s="28">
        <f>AI$6</f>
        <v>2015</v>
      </c>
      <c r="AJ43" s="28">
        <f>AJ$6</f>
        <v>2019</v>
      </c>
      <c r="AK43" s="28">
        <f>AK$6</f>
        <v>2020</v>
      </c>
      <c r="AL43" s="28">
        <f>AL$6</f>
        <v>2025</v>
      </c>
      <c r="AM43" s="28">
        <f>AM$6</f>
        <v>2035</v>
      </c>
      <c r="AO43" s="51" t="str">
        <f t="shared" si="97"/>
        <v>Change</v>
      </c>
      <c r="AP43" s="51" t="str">
        <f t="shared" si="97"/>
        <v>Demand</v>
      </c>
      <c r="AQ43" s="51" t="str">
        <f t="shared" si="97"/>
        <v>Requirement</v>
      </c>
      <c r="AS43" s="32" t="s">
        <v>162</v>
      </c>
      <c r="AT43" s="28">
        <f>AT$6</f>
        <v>2015</v>
      </c>
      <c r="AU43" s="28">
        <f>AU$6</f>
        <v>2019</v>
      </c>
      <c r="AV43" s="28">
        <f>AV$6</f>
        <v>2020</v>
      </c>
      <c r="AW43" s="28">
        <f>AW$6</f>
        <v>2025</v>
      </c>
      <c r="AX43" s="28">
        <f>AX$6</f>
        <v>2035</v>
      </c>
      <c r="AZ43" s="51" t="str">
        <f t="shared" si="98"/>
        <v>Change</v>
      </c>
      <c r="BA43" s="51" t="str">
        <f t="shared" si="98"/>
        <v>Demand</v>
      </c>
      <c r="BB43" s="51" t="str">
        <f t="shared" si="98"/>
        <v>Requirement</v>
      </c>
      <c r="BD43" s="32" t="s">
        <v>162</v>
      </c>
      <c r="BE43" s="28">
        <f>BE$6</f>
        <v>2015</v>
      </c>
      <c r="BF43" s="28">
        <f>BF$6</f>
        <v>2019</v>
      </c>
      <c r="BG43" s="28">
        <f>BG$6</f>
        <v>2020</v>
      </c>
      <c r="BH43" s="28">
        <f>BH$6</f>
        <v>2025</v>
      </c>
      <c r="BI43" s="28">
        <f>BI$6</f>
        <v>2035</v>
      </c>
      <c r="BK43" s="51" t="str">
        <f t="shared" si="99"/>
        <v>Change</v>
      </c>
      <c r="BL43" s="51" t="str">
        <f t="shared" si="99"/>
        <v>Demand</v>
      </c>
      <c r="BM43" s="51" t="str">
        <f t="shared" si="99"/>
        <v>Requirement</v>
      </c>
      <c r="BO43" s="32" t="s">
        <v>162</v>
      </c>
      <c r="BP43" s="28">
        <f>BP$6</f>
        <v>2015</v>
      </c>
      <c r="BQ43" s="28">
        <f>BQ$6</f>
        <v>2019</v>
      </c>
      <c r="BR43" s="28">
        <f>BR$6</f>
        <v>2020</v>
      </c>
      <c r="BS43" s="28">
        <f>BS$6</f>
        <v>2025</v>
      </c>
      <c r="BT43" s="28">
        <f>BT$6</f>
        <v>2035</v>
      </c>
      <c r="BV43" s="51" t="str">
        <f t="shared" si="100"/>
        <v>Change</v>
      </c>
      <c r="BW43" s="51" t="str">
        <f t="shared" si="100"/>
        <v>Demand</v>
      </c>
      <c r="BX43" s="51" t="str">
        <f t="shared" si="100"/>
        <v>Requirement</v>
      </c>
      <c r="BZ43" s="32" t="s">
        <v>162</v>
      </c>
      <c r="CA43" s="28">
        <f>CA$6</f>
        <v>2015</v>
      </c>
      <c r="CB43" s="28">
        <f>CB$6</f>
        <v>2019</v>
      </c>
      <c r="CC43" s="28">
        <f>CC$6</f>
        <v>2020</v>
      </c>
      <c r="CD43" s="28">
        <f>CD$6</f>
        <v>2025</v>
      </c>
      <c r="CE43" s="28">
        <f>CE$6</f>
        <v>2035</v>
      </c>
      <c r="CG43" s="51" t="str">
        <f t="shared" si="101"/>
        <v>Change</v>
      </c>
      <c r="CH43" s="51" t="str">
        <f t="shared" si="101"/>
        <v>Demand</v>
      </c>
      <c r="CI43" s="51" t="str">
        <f t="shared" si="101"/>
        <v>Requirement</v>
      </c>
      <c r="CK43" s="32" t="s">
        <v>162</v>
      </c>
      <c r="CL43" s="28">
        <f>CL$6</f>
        <v>2015</v>
      </c>
      <c r="CM43" s="28">
        <f>CM$6</f>
        <v>2019</v>
      </c>
      <c r="CN43" s="28">
        <f>CN$6</f>
        <v>2020</v>
      </c>
      <c r="CO43" s="28">
        <f>CO$6</f>
        <v>2025</v>
      </c>
      <c r="CP43" s="28">
        <f>CP$6</f>
        <v>2035</v>
      </c>
      <c r="CR43" s="51" t="str">
        <f t="shared" si="102"/>
        <v>Change</v>
      </c>
      <c r="CS43" s="51" t="str">
        <f t="shared" si="102"/>
        <v>Demand</v>
      </c>
      <c r="CT43" s="51" t="str">
        <f t="shared" si="102"/>
        <v>Requirement</v>
      </c>
    </row>
    <row r="44" spans="1:98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>
      <c r="A45" t="str">
        <f t="shared" ref="A45:A70" si="103">A8</f>
        <v>11 Corporate managers and directors</v>
      </c>
      <c r="B45" s="322">
        <f t="shared" ref="B45:F54" si="104">B8/B$35*100</f>
        <v>6.2089122655546261</v>
      </c>
      <c r="C45" s="322">
        <f t="shared" si="104"/>
        <v>5.9547774731768817</v>
      </c>
      <c r="D45" s="322">
        <f t="shared" si="104"/>
        <v>5.6754916948912291</v>
      </c>
      <c r="E45" s="322">
        <f t="shared" si="104"/>
        <v>5.1178311045317022</v>
      </c>
      <c r="F45" s="322">
        <f t="shared" si="104"/>
        <v>5.3846462362912568</v>
      </c>
      <c r="H45" s="278">
        <f t="shared" ref="H45:H70" si="105">IF(D8&gt;0,(H8/D8)*100,0)</f>
        <v>80.298163323577711</v>
      </c>
      <c r="I45" s="55">
        <f t="shared" ref="I45:I70" si="106">IF(D8&gt;0,I8/D8*100,0)</f>
        <v>69.041498988055878</v>
      </c>
      <c r="J45" s="55">
        <f t="shared" ref="J45:J70" si="107">IF(D8&gt;0,(J8/D8)*100,0)</f>
        <v>149.33966231163359</v>
      </c>
      <c r="L45" t="str">
        <f>A45</f>
        <v>11 Corporate managers and directors</v>
      </c>
      <c r="M45" s="322">
        <f t="shared" ref="M45:Q54" si="108">M8/M$35*100</f>
        <v>7.739685774256289</v>
      </c>
      <c r="N45" s="322">
        <f t="shared" si="108"/>
        <v>8.2141671508554523</v>
      </c>
      <c r="O45" s="322">
        <f t="shared" si="108"/>
        <v>7.9388481900917931</v>
      </c>
      <c r="P45" s="322">
        <f t="shared" si="108"/>
        <v>7.0567017710118769</v>
      </c>
      <c r="Q45" s="322">
        <f t="shared" si="108"/>
        <v>7.1643367340616697</v>
      </c>
      <c r="S45" s="278">
        <f t="shared" ref="S45:S70" si="109">IF(O8&gt;0,(S8/O8)*100,0)</f>
        <v>68.144961978688201</v>
      </c>
      <c r="T45" s="55">
        <f t="shared" ref="T45:T70" si="110">IF(O8&gt;0,T8/O8*100,0)</f>
        <v>66.300369572905808</v>
      </c>
      <c r="U45" s="55">
        <f t="shared" ref="U45:U70" si="111">IF(O8&gt;0,(U8/O8)*100,0)</f>
        <v>134.44533155159399</v>
      </c>
      <c r="W45" t="str">
        <f>A45</f>
        <v>11 Corporate managers and directors</v>
      </c>
      <c r="X45" s="322">
        <f t="shared" ref="X45:AB54" si="112">X8/X$35*100</f>
        <v>9.5676512041832673</v>
      </c>
      <c r="Y45" s="322">
        <f t="shared" si="112"/>
        <v>10.308791348617429</v>
      </c>
      <c r="Z45" s="322">
        <f t="shared" si="112"/>
        <v>9.9810742958638627</v>
      </c>
      <c r="AA45" s="322">
        <f t="shared" si="112"/>
        <v>8.6529439169235882</v>
      </c>
      <c r="AB45" s="322">
        <f t="shared" si="112"/>
        <v>8.534147277491547</v>
      </c>
      <c r="AD45" s="278">
        <f t="shared" ref="AD45:AD70" si="113">IF(Z8&gt;0,(AD8/Z8)*100,0)</f>
        <v>5.4752168856540804</v>
      </c>
      <c r="AE45" s="55">
        <f t="shared" ref="AE45:AE70" si="114">IF(Z8&gt;0,AE8/Z8*100,0)</f>
        <v>56.895979748419364</v>
      </c>
      <c r="AF45" s="55">
        <f t="shared" ref="AF45:AF70" si="115">IF(Z8&gt;0,(AF8/Z8)*100,0)</f>
        <v>62.371196634073442</v>
      </c>
      <c r="AH45" t="str">
        <f>L45</f>
        <v>11 Corporate managers and directors</v>
      </c>
      <c r="AI45" s="322">
        <f t="shared" ref="AI45:AM54" si="116">AI8/AI$35*100</f>
        <v>5.9126243944120347</v>
      </c>
      <c r="AJ45" s="322">
        <f t="shared" si="116"/>
        <v>6.8870557772462826</v>
      </c>
      <c r="AK45" s="322">
        <f t="shared" si="116"/>
        <v>6.8615642581856431</v>
      </c>
      <c r="AL45" s="322">
        <f t="shared" si="116"/>
        <v>6.2715193018310726</v>
      </c>
      <c r="AM45" s="322">
        <f t="shared" si="116"/>
        <v>6.3257256510912558</v>
      </c>
      <c r="AO45" s="278">
        <f t="shared" ref="AO45:AO70" si="117">IF(AK8&gt;0,(AO8/AK8)*100,0)</f>
        <v>-2.7239969348142523</v>
      </c>
      <c r="AP45" s="55">
        <f t="shared" ref="AP45:AP70" si="118">IF(AK8&gt;0,AP8/AK8*100,0)</f>
        <v>49.746150982233111</v>
      </c>
      <c r="AQ45" s="55">
        <f t="shared" ref="AQ45:AQ70" si="119">IF(AK8&gt;0,(AQ8/AK8)*100,0)</f>
        <v>47.022154047418866</v>
      </c>
      <c r="AS45" t="str">
        <f>W45</f>
        <v>11 Corporate managers and directors</v>
      </c>
      <c r="AT45" s="322">
        <f t="shared" ref="AT45:AX54" si="120">AT8/AT$35*100</f>
        <v>9.4132096572130237</v>
      </c>
      <c r="AU45" s="322">
        <f t="shared" si="120"/>
        <v>10.085938340858235</v>
      </c>
      <c r="AV45" s="322">
        <f t="shared" si="120"/>
        <v>9.8561494461408738</v>
      </c>
      <c r="AW45" s="322">
        <f t="shared" si="120"/>
        <v>8.1302583944579823</v>
      </c>
      <c r="AX45" s="322">
        <f t="shared" si="120"/>
        <v>7.5921459376584792</v>
      </c>
      <c r="AZ45" s="278">
        <f t="shared" ref="AZ45:AZ70" si="121">IF(AV8&gt;0,(AZ8/AV8)*100,0)</f>
        <v>-9.2702295616948582</v>
      </c>
      <c r="BA45" s="55">
        <f t="shared" ref="BA45:BA70" si="122">IF(AV8&gt;0,BA8/AV8*100,0)</f>
        <v>47.320936801370024</v>
      </c>
      <c r="BB45" s="55">
        <f t="shared" ref="BB45:BB70" si="123">IF(AV8&gt;0,(BB8/AV8)*100,0)</f>
        <v>38.050707239675162</v>
      </c>
      <c r="BD45" t="str">
        <f>AH45</f>
        <v>11 Corporate managers and directors</v>
      </c>
      <c r="BE45" s="322">
        <f t="shared" ref="BE45:BI54" si="124">BE8/BE$35*100</f>
        <v>5.2340419389467572</v>
      </c>
      <c r="BF45" s="322">
        <f t="shared" si="124"/>
        <v>5.8665466477680006</v>
      </c>
      <c r="BG45" s="322">
        <f t="shared" si="124"/>
        <v>6.329680262939263</v>
      </c>
      <c r="BH45" s="322">
        <f t="shared" si="124"/>
        <v>5.3975328928768285</v>
      </c>
      <c r="BI45" s="322">
        <f t="shared" si="124"/>
        <v>5.7631372752385834</v>
      </c>
      <c r="BK45" s="278">
        <f t="shared" ref="BK45:BK70" si="125">IF(BG8&gt;0,(BK8/BG8)*100,0)</f>
        <v>-3.8453748980037941</v>
      </c>
      <c r="BL45" s="55">
        <f t="shared" ref="BL45:BL70" si="126">IF(BG8&gt;0,BL8/BG8*100,0)</f>
        <v>41.179424220765696</v>
      </c>
      <c r="BM45" s="55">
        <f t="shared" ref="BM45:BM70" si="127">IF(BG8&gt;0,(BM8/BG8)*100,0)</f>
        <v>37.334049322761906</v>
      </c>
      <c r="BO45" t="str">
        <f>AS45</f>
        <v>11 Corporate managers and directors</v>
      </c>
      <c r="BP45" s="322">
        <f t="shared" ref="BP45:BT54" si="128">BP8/BP$35*100</f>
        <v>4.3430618593660411</v>
      </c>
      <c r="BQ45" s="322">
        <f t="shared" si="128"/>
        <v>4.7412461893390647</v>
      </c>
      <c r="BR45" s="322">
        <f t="shared" si="128"/>
        <v>5.1323319982507121</v>
      </c>
      <c r="BS45" s="322">
        <f t="shared" si="128"/>
        <v>4.2515210764522475</v>
      </c>
      <c r="BT45" s="322">
        <f t="shared" si="128"/>
        <v>4.2629742538721151</v>
      </c>
      <c r="BV45" s="278">
        <f t="shared" ref="BV45:BV70" si="129">IF(BR8&gt;0,(BV8/BR8)*100,0)</f>
        <v>-23.395891450698802</v>
      </c>
      <c r="BW45" s="55">
        <f t="shared" ref="BW45:BW70" si="130">IF(BR8&gt;0,BW8/BR8*100,0)</f>
        <v>41.342234731702746</v>
      </c>
      <c r="BX45" s="55">
        <f t="shared" ref="BX45:BX70" si="131">IF(BR8&gt;0,(BX8/BR8)*100,0)</f>
        <v>17.946343281003944</v>
      </c>
      <c r="BZ45" t="str">
        <f>BD45</f>
        <v>11 Corporate managers and directors</v>
      </c>
      <c r="CA45" s="322">
        <f t="shared" ref="CA45:CE54" si="132">CA8/CA$35*100</f>
        <v>4.8027701499121642</v>
      </c>
      <c r="CB45" s="322">
        <f t="shared" si="132"/>
        <v>5.5753143162484964</v>
      </c>
      <c r="CC45" s="322">
        <f t="shared" si="132"/>
        <v>6.3752260512436747</v>
      </c>
      <c r="CD45" s="322">
        <f t="shared" si="132"/>
        <v>5.6154695596357715</v>
      </c>
      <c r="CE45" s="322">
        <f t="shared" si="132"/>
        <v>6.508590467036611</v>
      </c>
      <c r="CG45" s="278">
        <f t="shared" ref="CG45:CG70" si="133">IF(CC8&gt;0,(CG8/CC8)*100,0)</f>
        <v>-45.705047091228558</v>
      </c>
      <c r="CH45" s="55">
        <f t="shared" ref="CH45:CH70" si="134">IF(CC8&gt;0,CH8/CC8*100,0)</f>
        <v>31.98147639370158</v>
      </c>
      <c r="CI45" s="55">
        <f t="shared" ref="CI45:CI70" si="135">IF(CC8&gt;0,(CI8/CC8)*100,0)</f>
        <v>-13.723570697526977</v>
      </c>
      <c r="CK45" t="str">
        <f>BO45</f>
        <v>11 Corporate managers and directors</v>
      </c>
      <c r="CL45" s="322">
        <f t="shared" ref="CL45:CP54" si="136">CL8/CL$35*100</f>
        <v>2.5504293256567911</v>
      </c>
      <c r="CM45" s="322">
        <f t="shared" si="136"/>
        <v>3.2958994774400909</v>
      </c>
      <c r="CN45" s="322">
        <f t="shared" si="136"/>
        <v>3.6926697779181437</v>
      </c>
      <c r="CO45" s="322">
        <f t="shared" si="136"/>
        <v>3.7533879747638279</v>
      </c>
      <c r="CP45" s="322">
        <f t="shared" si="136"/>
        <v>5.1050641928298743</v>
      </c>
      <c r="CR45" s="278">
        <f t="shared" ref="CR45:CR70" si="137">IF(CN8&gt;0,(CR8/CN8)*100,0)</f>
        <v>-47.162717892316969</v>
      </c>
      <c r="CS45" s="55">
        <f t="shared" ref="CS45:CS70" si="138">IF(CN8&gt;0,CS8/CN8*100,0)</f>
        <v>22.494684866230049</v>
      </c>
      <c r="CT45" s="55">
        <f t="shared" ref="CT45:CT70" si="139">IF(CN8&gt;0,(CT8/CN8)*100,0)</f>
        <v>-24.668033026086921</v>
      </c>
    </row>
    <row r="46" spans="1:98">
      <c r="A46" t="str">
        <f t="shared" si="103"/>
        <v>12 Other managers and proprietors</v>
      </c>
      <c r="B46" s="322">
        <f t="shared" si="104"/>
        <v>2.0895837247309395</v>
      </c>
      <c r="C46" s="322">
        <f t="shared" si="104"/>
        <v>2.0040470377773838</v>
      </c>
      <c r="D46" s="322">
        <f t="shared" si="104"/>
        <v>1.8425464090941659</v>
      </c>
      <c r="E46" s="322">
        <f t="shared" si="104"/>
        <v>1.9256588579092631</v>
      </c>
      <c r="F46" s="322">
        <f t="shared" si="104"/>
        <v>2.2039587539313552</v>
      </c>
      <c r="H46" s="278">
        <f t="shared" si="105"/>
        <v>127.31214821169554</v>
      </c>
      <c r="I46" s="55">
        <f t="shared" si="106"/>
        <v>96.292185759079516</v>
      </c>
      <c r="J46" s="55">
        <f t="shared" si="107"/>
        <v>223.60433397077509</v>
      </c>
      <c r="L46" t="str">
        <f t="shared" ref="L46:L69" si="140">A46</f>
        <v>12 Other managers and proprietors</v>
      </c>
      <c r="M46" s="322">
        <f t="shared" si="108"/>
        <v>2.764536171793972</v>
      </c>
      <c r="N46" s="322">
        <f t="shared" si="108"/>
        <v>2.6726783285081366</v>
      </c>
      <c r="O46" s="322">
        <f t="shared" si="108"/>
        <v>2.7286494097585767</v>
      </c>
      <c r="P46" s="322">
        <f t="shared" si="108"/>
        <v>2.7616659484984933</v>
      </c>
      <c r="Q46" s="322">
        <f t="shared" si="108"/>
        <v>3.1213068941283821</v>
      </c>
      <c r="S46" s="278">
        <f t="shared" si="109"/>
        <v>113.13466914049619</v>
      </c>
      <c r="T46" s="55">
        <f t="shared" si="110"/>
        <v>88.558501674938668</v>
      </c>
      <c r="U46" s="55">
        <f t="shared" si="111"/>
        <v>201.69317081543488</v>
      </c>
      <c r="W46" t="str">
        <f t="shared" ref="W46:W69" si="141">A46</f>
        <v>12 Other managers and proprietors</v>
      </c>
      <c r="X46" s="322">
        <f t="shared" si="112"/>
        <v>3.0634134517071154</v>
      </c>
      <c r="Y46" s="322">
        <f t="shared" si="112"/>
        <v>3.0297431976238962</v>
      </c>
      <c r="Z46" s="322">
        <f t="shared" si="112"/>
        <v>3.1287500671807833</v>
      </c>
      <c r="AA46" s="322">
        <f t="shared" si="112"/>
        <v>3.1292274776706113</v>
      </c>
      <c r="AB46" s="322">
        <f t="shared" si="112"/>
        <v>3.3197680032018124</v>
      </c>
      <c r="AD46" s="278">
        <f t="shared" si="113"/>
        <v>30.889390346406735</v>
      </c>
      <c r="AE46" s="55">
        <f t="shared" si="114"/>
        <v>75.792274668465836</v>
      </c>
      <c r="AF46" s="55">
        <f t="shared" si="115"/>
        <v>106.68166501487258</v>
      </c>
      <c r="AH46" t="str">
        <f t="shared" ref="AH46:AH69" si="142">L46</f>
        <v>12 Other managers and proprietors</v>
      </c>
      <c r="AI46" s="322">
        <f t="shared" si="116"/>
        <v>2.7167638012409392</v>
      </c>
      <c r="AJ46" s="322">
        <f t="shared" si="116"/>
        <v>2.8773230222501232</v>
      </c>
      <c r="AK46" s="322">
        <f t="shared" si="116"/>
        <v>3.0663872554126943</v>
      </c>
      <c r="AL46" s="322">
        <f t="shared" si="116"/>
        <v>3.0918273263415914</v>
      </c>
      <c r="AM46" s="322">
        <f t="shared" si="116"/>
        <v>3.463042311908616</v>
      </c>
      <c r="AO46" s="278">
        <f t="shared" si="117"/>
        <v>19.165158978646179</v>
      </c>
      <c r="AP46" s="55">
        <f t="shared" si="118"/>
        <v>68.422029386328347</v>
      </c>
      <c r="AQ46" s="55">
        <f t="shared" si="119"/>
        <v>87.587188364974523</v>
      </c>
      <c r="AS46" t="str">
        <f t="shared" ref="AS46:AS69" si="143">W46</f>
        <v>12 Other managers and proprietors</v>
      </c>
      <c r="AT46" s="322">
        <f t="shared" si="120"/>
        <v>3.2926838589704044</v>
      </c>
      <c r="AU46" s="322">
        <f t="shared" si="120"/>
        <v>3.3467094972013145</v>
      </c>
      <c r="AV46" s="322">
        <f t="shared" si="120"/>
        <v>3.4880112216669397</v>
      </c>
      <c r="AW46" s="322">
        <f t="shared" si="120"/>
        <v>3.569264603882198</v>
      </c>
      <c r="AX46" s="322">
        <f t="shared" si="120"/>
        <v>3.6682034409951951</v>
      </c>
      <c r="AZ46" s="278">
        <f t="shared" si="121"/>
        <v>23.870555401894443</v>
      </c>
      <c r="BA46" s="55">
        <f t="shared" si="122"/>
        <v>67.63918314412831</v>
      </c>
      <c r="BB46" s="55">
        <f t="shared" si="123"/>
        <v>91.50973854602276</v>
      </c>
      <c r="BD46" t="str">
        <f t="shared" ref="BD46:BD69" si="144">AH46</f>
        <v>12 Other managers and proprietors</v>
      </c>
      <c r="BE46" s="322">
        <f t="shared" si="124"/>
        <v>2.2185271821190606</v>
      </c>
      <c r="BF46" s="322">
        <f t="shared" si="124"/>
        <v>2.1134902883423874</v>
      </c>
      <c r="BG46" s="322">
        <f t="shared" si="124"/>
        <v>2.1931127974029456</v>
      </c>
      <c r="BH46" s="322">
        <f t="shared" si="124"/>
        <v>2.114280731728198</v>
      </c>
      <c r="BI46" s="322">
        <f t="shared" si="124"/>
        <v>2.2188317973922667</v>
      </c>
      <c r="BK46" s="278">
        <f t="shared" si="125"/>
        <v>6.8455401738417869</v>
      </c>
      <c r="BL46" s="55">
        <f t="shared" si="126"/>
        <v>47.374546484187647</v>
      </c>
      <c r="BM46" s="55">
        <f t="shared" si="127"/>
        <v>54.22008665802943</v>
      </c>
      <c r="BO46" t="str">
        <f t="shared" ref="BO46:BO69" si="145">AS46</f>
        <v>12 Other managers and proprietors</v>
      </c>
      <c r="BP46" s="322">
        <f t="shared" si="128"/>
        <v>2.243890818737527</v>
      </c>
      <c r="BQ46" s="322">
        <f t="shared" si="128"/>
        <v>2.2443977482618434</v>
      </c>
      <c r="BR46" s="322">
        <f t="shared" si="128"/>
        <v>2.5506968259549598</v>
      </c>
      <c r="BS46" s="322">
        <f t="shared" si="128"/>
        <v>2.5398634193042628</v>
      </c>
      <c r="BT46" s="322">
        <f t="shared" si="128"/>
        <v>2.7337943783714005</v>
      </c>
      <c r="BV46" s="278">
        <f t="shared" si="129"/>
        <v>-1.1535447272216597</v>
      </c>
      <c r="BW46" s="55">
        <f t="shared" si="130"/>
        <v>59.339146811253109</v>
      </c>
      <c r="BX46" s="55">
        <f t="shared" si="131"/>
        <v>58.185602084031437</v>
      </c>
      <c r="BZ46" t="str">
        <f t="shared" ref="BZ46:BZ69" si="146">BD46</f>
        <v>12 Other managers and proprietors</v>
      </c>
      <c r="CA46" s="322">
        <f t="shared" si="132"/>
        <v>2.277774451203519</v>
      </c>
      <c r="CB46" s="322">
        <f t="shared" si="132"/>
        <v>2.4069763648667597</v>
      </c>
      <c r="CC46" s="322">
        <f t="shared" si="132"/>
        <v>2.6606904918968888</v>
      </c>
      <c r="CD46" s="322">
        <f t="shared" si="132"/>
        <v>2.737153546116851</v>
      </c>
      <c r="CE46" s="322">
        <f t="shared" si="132"/>
        <v>3.153361923867775</v>
      </c>
      <c r="CG46" s="278">
        <f t="shared" si="133"/>
        <v>-36.969962548049715</v>
      </c>
      <c r="CH46" s="55">
        <f t="shared" si="134"/>
        <v>39.78866523505566</v>
      </c>
      <c r="CI46" s="55">
        <f t="shared" si="135"/>
        <v>2.8187026870059477</v>
      </c>
      <c r="CK46" t="str">
        <f t="shared" ref="CK46:CK69" si="147">BO46</f>
        <v>12 Other managers and proprietors</v>
      </c>
      <c r="CL46" s="322">
        <f t="shared" si="136"/>
        <v>2.0089562313363474</v>
      </c>
      <c r="CM46" s="322">
        <f t="shared" si="136"/>
        <v>2.2552847190977587</v>
      </c>
      <c r="CN46" s="322">
        <f t="shared" si="136"/>
        <v>2.3513401402506768</v>
      </c>
      <c r="CO46" s="322">
        <f t="shared" si="136"/>
        <v>2.6964196516826298</v>
      </c>
      <c r="CP46" s="322">
        <f t="shared" si="136"/>
        <v>2.9232624698570882</v>
      </c>
      <c r="CR46" s="278">
        <f t="shared" si="137"/>
        <v>-52.484851868221227</v>
      </c>
      <c r="CS46" s="55">
        <f t="shared" si="138"/>
        <v>25.199606857018868</v>
      </c>
      <c r="CT46" s="55">
        <f t="shared" si="139"/>
        <v>-27.28524501120236</v>
      </c>
    </row>
    <row r="47" spans="1:98">
      <c r="A47" t="str">
        <f t="shared" si="103"/>
        <v>21 Science, research, engineering and technology professionals</v>
      </c>
      <c r="B47" s="322">
        <f t="shared" si="104"/>
        <v>19.594576682197285</v>
      </c>
      <c r="C47" s="322">
        <f t="shared" si="104"/>
        <v>18.651627425168897</v>
      </c>
      <c r="D47" s="322">
        <f t="shared" si="104"/>
        <v>17.311420601809996</v>
      </c>
      <c r="E47" s="322">
        <f t="shared" si="104"/>
        <v>19.286915590876454</v>
      </c>
      <c r="F47" s="322">
        <f t="shared" si="104"/>
        <v>19.011985526094914</v>
      </c>
      <c r="H47" s="278">
        <f t="shared" si="105"/>
        <v>108.70477518693551</v>
      </c>
      <c r="I47" s="55">
        <f t="shared" si="106"/>
        <v>58.082427802772443</v>
      </c>
      <c r="J47" s="55">
        <f t="shared" si="107"/>
        <v>166.78720298970794</v>
      </c>
      <c r="L47" t="str">
        <f t="shared" si="140"/>
        <v>21 Science, research, engineering and technology professionals</v>
      </c>
      <c r="M47" s="322">
        <f t="shared" si="108"/>
        <v>10.196416926772637</v>
      </c>
      <c r="N47" s="322">
        <f t="shared" si="108"/>
        <v>9.8470398967889903</v>
      </c>
      <c r="O47" s="322">
        <f t="shared" si="108"/>
        <v>9.3158912984929305</v>
      </c>
      <c r="P47" s="322">
        <f t="shared" si="108"/>
        <v>11.095413719038467</v>
      </c>
      <c r="Q47" s="322">
        <f t="shared" si="108"/>
        <v>11.116338962160967</v>
      </c>
      <c r="S47" s="278">
        <f t="shared" si="109"/>
        <v>122.3323892417397</v>
      </c>
      <c r="T47" s="55">
        <f t="shared" si="110"/>
        <v>64.630122099025584</v>
      </c>
      <c r="U47" s="55">
        <f t="shared" si="111"/>
        <v>186.9625113407653</v>
      </c>
      <c r="W47" t="str">
        <f t="shared" si="141"/>
        <v>21 Science, research, engineering and technology professionals</v>
      </c>
      <c r="X47" s="322">
        <f t="shared" si="112"/>
        <v>9.5112222278347271</v>
      </c>
      <c r="Y47" s="322">
        <f t="shared" si="112"/>
        <v>9.231697305554631</v>
      </c>
      <c r="Z47" s="322">
        <f t="shared" si="112"/>
        <v>9.0917806543489821</v>
      </c>
      <c r="AA47" s="322">
        <f t="shared" si="112"/>
        <v>9.8748557593494901</v>
      </c>
      <c r="AB47" s="322">
        <f t="shared" si="112"/>
        <v>9.1756234979857076</v>
      </c>
      <c r="AD47" s="278">
        <f t="shared" si="113"/>
        <v>24.495661584038405</v>
      </c>
      <c r="AE47" s="55">
        <f t="shared" si="114"/>
        <v>46.550830598537871</v>
      </c>
      <c r="AF47" s="55">
        <f t="shared" si="115"/>
        <v>71.046492182576273</v>
      </c>
      <c r="AH47" t="str">
        <f t="shared" si="142"/>
        <v>21 Science, research, engineering and technology professionals</v>
      </c>
      <c r="AI47" s="322">
        <f t="shared" si="116"/>
        <v>3.2439735657808724</v>
      </c>
      <c r="AJ47" s="322">
        <f t="shared" si="116"/>
        <v>3.220701485515959</v>
      </c>
      <c r="AK47" s="322">
        <f t="shared" si="116"/>
        <v>3.2986449628773244</v>
      </c>
      <c r="AL47" s="322">
        <f t="shared" si="116"/>
        <v>3.841291714136442</v>
      </c>
      <c r="AM47" s="322">
        <f t="shared" si="116"/>
        <v>3.833496465394258</v>
      </c>
      <c r="AO47" s="278">
        <f t="shared" si="117"/>
        <v>22.624709865374012</v>
      </c>
      <c r="AP47" s="55">
        <f t="shared" si="118"/>
        <v>44.343836410148398</v>
      </c>
      <c r="AQ47" s="55">
        <f t="shared" si="119"/>
        <v>66.968546275522414</v>
      </c>
      <c r="AS47" t="str">
        <f t="shared" si="143"/>
        <v>21 Science, research, engineering and technology professionals</v>
      </c>
      <c r="AT47" s="322">
        <f t="shared" si="120"/>
        <v>9.5383751381972477</v>
      </c>
      <c r="AU47" s="322">
        <f t="shared" si="120"/>
        <v>9.6054948918589105</v>
      </c>
      <c r="AV47" s="322">
        <f t="shared" si="120"/>
        <v>9.6093767010942432</v>
      </c>
      <c r="AW47" s="322">
        <f t="shared" si="120"/>
        <v>9.9233247804423073</v>
      </c>
      <c r="AX47" s="322">
        <f t="shared" si="120"/>
        <v>8.7096677549892014</v>
      </c>
      <c r="AZ47" s="278">
        <f t="shared" si="121"/>
        <v>6.7576275911460444</v>
      </c>
      <c r="BA47" s="55">
        <f t="shared" si="122"/>
        <v>37.388715417763279</v>
      </c>
      <c r="BB47" s="55">
        <f t="shared" si="123"/>
        <v>44.146343008909319</v>
      </c>
      <c r="BD47" t="str">
        <f t="shared" si="144"/>
        <v>21 Science, research, engineering and technology professionals</v>
      </c>
      <c r="BE47" s="322">
        <f t="shared" si="124"/>
        <v>3.270109336382184</v>
      </c>
      <c r="BF47" s="322">
        <f t="shared" si="124"/>
        <v>3.5156078587503825</v>
      </c>
      <c r="BG47" s="322">
        <f t="shared" si="124"/>
        <v>3.9495763638042267</v>
      </c>
      <c r="BH47" s="322">
        <f t="shared" si="124"/>
        <v>4.4031061434275767</v>
      </c>
      <c r="BI47" s="322">
        <f t="shared" si="124"/>
        <v>4.6246705048510055</v>
      </c>
      <c r="BK47" s="278">
        <f t="shared" si="125"/>
        <v>23.658298907401367</v>
      </c>
      <c r="BL47" s="55">
        <f t="shared" si="126"/>
        <v>35.304413880566727</v>
      </c>
      <c r="BM47" s="55">
        <f t="shared" si="127"/>
        <v>58.962712787968094</v>
      </c>
      <c r="BO47" t="str">
        <f t="shared" si="145"/>
        <v>21 Science, research, engineering and technology professionals</v>
      </c>
      <c r="BP47" s="322">
        <f t="shared" si="128"/>
        <v>2.2286061966103938</v>
      </c>
      <c r="BQ47" s="322">
        <f t="shared" si="128"/>
        <v>2.4378483128065058</v>
      </c>
      <c r="BR47" s="322">
        <f t="shared" si="128"/>
        <v>2.8437064906055238</v>
      </c>
      <c r="BS47" s="322">
        <f t="shared" si="128"/>
        <v>3.1919509763245353</v>
      </c>
      <c r="BT47" s="322">
        <f t="shared" si="128"/>
        <v>3.3430180316857898</v>
      </c>
      <c r="BV47" s="278">
        <f t="shared" si="129"/>
        <v>8.4196610476810605</v>
      </c>
      <c r="BW47" s="55">
        <f t="shared" si="130"/>
        <v>39.343431435145035</v>
      </c>
      <c r="BX47" s="55">
        <f t="shared" si="131"/>
        <v>47.763092482826096</v>
      </c>
      <c r="BZ47" t="str">
        <f t="shared" si="146"/>
        <v>21 Science, research, engineering and technology professionals</v>
      </c>
      <c r="CA47" s="322">
        <f t="shared" si="132"/>
        <v>1.993053886402145</v>
      </c>
      <c r="CB47" s="322">
        <f t="shared" si="132"/>
        <v>2.2889888170010071</v>
      </c>
      <c r="CC47" s="322">
        <f t="shared" si="132"/>
        <v>2.7515527013281988</v>
      </c>
      <c r="CD47" s="322">
        <f t="shared" si="132"/>
        <v>3.2470774200668737</v>
      </c>
      <c r="CE47" s="322">
        <f t="shared" si="132"/>
        <v>3.7049410168476111</v>
      </c>
      <c r="CG47" s="278">
        <f t="shared" si="133"/>
        <v>-28.390347462209842</v>
      </c>
      <c r="CH47" s="55">
        <f t="shared" si="134"/>
        <v>28.76729310043477</v>
      </c>
      <c r="CI47" s="55">
        <f t="shared" si="135"/>
        <v>0.37694563822493132</v>
      </c>
      <c r="CK47" t="str">
        <f t="shared" si="147"/>
        <v>21 Science, research, engineering and technology professionals</v>
      </c>
      <c r="CL47" s="322">
        <f t="shared" si="136"/>
        <v>1.1787560976577898</v>
      </c>
      <c r="CM47" s="322">
        <f t="shared" si="136"/>
        <v>1.6056706049079172</v>
      </c>
      <c r="CN47" s="322">
        <f t="shared" si="136"/>
        <v>1.8952881447748107</v>
      </c>
      <c r="CO47" s="322">
        <f t="shared" si="136"/>
        <v>2.701615078260907</v>
      </c>
      <c r="CP47" s="322">
        <f t="shared" si="136"/>
        <v>3.613182362199121</v>
      </c>
      <c r="CR47" s="278">
        <f t="shared" si="137"/>
        <v>-27.139127098270183</v>
      </c>
      <c r="CS47" s="55">
        <f t="shared" si="138"/>
        <v>26.887682356921772</v>
      </c>
      <c r="CT47" s="55">
        <f t="shared" si="139"/>
        <v>-0.2514447413484116</v>
      </c>
    </row>
    <row r="48" spans="1:98">
      <c r="A48" t="str">
        <f t="shared" si="103"/>
        <v>22 Health professionals</v>
      </c>
      <c r="B48" s="322">
        <f t="shared" si="104"/>
        <v>19.188664289367665</v>
      </c>
      <c r="C48" s="322">
        <f t="shared" si="104"/>
        <v>24.166771148353362</v>
      </c>
      <c r="D48" s="322">
        <f t="shared" si="104"/>
        <v>24.24888624249763</v>
      </c>
      <c r="E48" s="322">
        <f t="shared" si="104"/>
        <v>24.71697026425214</v>
      </c>
      <c r="F48" s="322">
        <f t="shared" si="104"/>
        <v>25.13355583907811</v>
      </c>
      <c r="H48" s="278">
        <f t="shared" si="105"/>
        <v>96.969852145177256</v>
      </c>
      <c r="I48" s="55">
        <f t="shared" si="106"/>
        <v>70.96665992964823</v>
      </c>
      <c r="J48" s="55">
        <f t="shared" si="107"/>
        <v>167.93651207482549</v>
      </c>
      <c r="L48" t="str">
        <f t="shared" si="140"/>
        <v>22 Health professionals</v>
      </c>
      <c r="M48" s="322">
        <f t="shared" si="108"/>
        <v>8.9519258494870435</v>
      </c>
      <c r="N48" s="322">
        <f t="shared" si="108"/>
        <v>11.028733170970911</v>
      </c>
      <c r="O48" s="322">
        <f t="shared" si="108"/>
        <v>10.924260837842368</v>
      </c>
      <c r="P48" s="322">
        <f t="shared" si="108"/>
        <v>10.267724164140347</v>
      </c>
      <c r="Q48" s="322">
        <f t="shared" si="108"/>
        <v>9.9859414514890208</v>
      </c>
      <c r="S48" s="278">
        <f t="shared" si="109"/>
        <v>70.318694951546746</v>
      </c>
      <c r="T48" s="55">
        <f t="shared" si="110"/>
        <v>66.847856620184416</v>
      </c>
      <c r="U48" s="55">
        <f t="shared" si="111"/>
        <v>137.16655157173116</v>
      </c>
      <c r="W48" t="str">
        <f t="shared" si="141"/>
        <v>22 Health professionals</v>
      </c>
      <c r="X48" s="322">
        <f t="shared" si="112"/>
        <v>9.2234924991149914</v>
      </c>
      <c r="Y48" s="322">
        <f t="shared" si="112"/>
        <v>11.32874624993655</v>
      </c>
      <c r="Z48" s="322">
        <f t="shared" si="112"/>
        <v>10.816371562303013</v>
      </c>
      <c r="AA48" s="322">
        <f t="shared" si="112"/>
        <v>9.9565665229941374</v>
      </c>
      <c r="AB48" s="322">
        <f t="shared" si="112"/>
        <v>8.9362813233621559</v>
      </c>
      <c r="AD48" s="278">
        <f t="shared" si="113"/>
        <v>1.9161048018208837</v>
      </c>
      <c r="AE48" s="55">
        <f t="shared" si="114"/>
        <v>58.281299151773069</v>
      </c>
      <c r="AF48" s="55">
        <f t="shared" si="115"/>
        <v>60.197403953593955</v>
      </c>
      <c r="AH48" t="str">
        <f t="shared" si="142"/>
        <v>22 Health professionals</v>
      </c>
      <c r="AI48" s="322">
        <f t="shared" si="116"/>
        <v>14.953944165515656</v>
      </c>
      <c r="AJ48" s="322">
        <f t="shared" si="116"/>
        <v>13.82478340724477</v>
      </c>
      <c r="AK48" s="322">
        <f t="shared" si="116"/>
        <v>12.145816134684612</v>
      </c>
      <c r="AL48" s="322">
        <f t="shared" si="116"/>
        <v>6.6163780521504592</v>
      </c>
      <c r="AM48" s="322">
        <f t="shared" si="116"/>
        <v>2.2387859722767942</v>
      </c>
      <c r="AO48" s="278">
        <f t="shared" si="117"/>
        <v>-80.55068210945025</v>
      </c>
      <c r="AP48" s="55">
        <f t="shared" si="118"/>
        <v>18.074594977220144</v>
      </c>
      <c r="AQ48" s="55">
        <f t="shared" si="119"/>
        <v>-62.476087132230106</v>
      </c>
      <c r="AS48" t="str">
        <f t="shared" si="143"/>
        <v>22 Health professionals</v>
      </c>
      <c r="AT48" s="322">
        <f t="shared" si="120"/>
        <v>1.8831851760362648</v>
      </c>
      <c r="AU48" s="322">
        <f t="shared" si="120"/>
        <v>2.2583341104266226</v>
      </c>
      <c r="AV48" s="322">
        <f t="shared" si="120"/>
        <v>2.3658328668578803</v>
      </c>
      <c r="AW48" s="322">
        <f t="shared" si="120"/>
        <v>2.2769597660880088</v>
      </c>
      <c r="AX48" s="322">
        <f t="shared" si="120"/>
        <v>2.1381338386031814</v>
      </c>
      <c r="AZ48" s="278">
        <f t="shared" si="121"/>
        <v>6.449437376879481</v>
      </c>
      <c r="BA48" s="55">
        <f t="shared" si="122"/>
        <v>52.206595968050095</v>
      </c>
      <c r="BB48" s="55">
        <f t="shared" si="123"/>
        <v>58.656033344929583</v>
      </c>
      <c r="BD48" t="str">
        <f t="shared" si="144"/>
        <v>22 Health professionals</v>
      </c>
      <c r="BE48" s="322">
        <f t="shared" si="124"/>
        <v>2.1445008609105045</v>
      </c>
      <c r="BF48" s="322">
        <f t="shared" si="124"/>
        <v>2.7888282509559699</v>
      </c>
      <c r="BG48" s="322">
        <f t="shared" si="124"/>
        <v>2.6809095081070828</v>
      </c>
      <c r="BH48" s="322">
        <f t="shared" si="124"/>
        <v>2.6488912242409901</v>
      </c>
      <c r="BI48" s="322">
        <f t="shared" si="124"/>
        <v>2.4710300071396496</v>
      </c>
      <c r="BK48" s="278">
        <f t="shared" si="125"/>
        <v>-2.6605581759952837</v>
      </c>
      <c r="BL48" s="55">
        <f t="shared" si="126"/>
        <v>56.860564841552943</v>
      </c>
      <c r="BM48" s="55">
        <f t="shared" si="127"/>
        <v>54.200006665557652</v>
      </c>
      <c r="BO48" t="str">
        <f t="shared" si="145"/>
        <v>22 Health professionals</v>
      </c>
      <c r="BP48" s="322">
        <f t="shared" si="128"/>
        <v>1.697151653275061</v>
      </c>
      <c r="BQ48" s="322">
        <f t="shared" si="128"/>
        <v>2.1085338814539556</v>
      </c>
      <c r="BR48" s="322">
        <f t="shared" si="128"/>
        <v>2.0334857353033491</v>
      </c>
      <c r="BS48" s="322">
        <f t="shared" si="128"/>
        <v>1.9467287811702527</v>
      </c>
      <c r="BT48" s="322">
        <f t="shared" si="128"/>
        <v>1.7974403784882278</v>
      </c>
      <c r="BV48" s="278">
        <f t="shared" si="129"/>
        <v>-18.479382861004311</v>
      </c>
      <c r="BW48" s="55">
        <f t="shared" si="130"/>
        <v>49.926680943254844</v>
      </c>
      <c r="BX48" s="55">
        <f t="shared" si="131"/>
        <v>31.447298082250537</v>
      </c>
      <c r="BZ48" t="str">
        <f t="shared" si="146"/>
        <v>22 Health professionals</v>
      </c>
      <c r="CA48" s="322">
        <f t="shared" si="132"/>
        <v>1.3502201326541685</v>
      </c>
      <c r="CB48" s="322">
        <f t="shared" si="132"/>
        <v>1.8739242038141726</v>
      </c>
      <c r="CC48" s="322">
        <f t="shared" si="132"/>
        <v>1.5677670630418479</v>
      </c>
      <c r="CD48" s="322">
        <f t="shared" si="132"/>
        <v>1.4729768210777965</v>
      </c>
      <c r="CE48" s="322">
        <f t="shared" si="132"/>
        <v>1.1565969790275334</v>
      </c>
      <c r="CG48" s="278">
        <f t="shared" si="133"/>
        <v>-60.765454959267259</v>
      </c>
      <c r="CH48" s="55">
        <f t="shared" si="134"/>
        <v>29.603403314897836</v>
      </c>
      <c r="CI48" s="55">
        <f t="shared" si="135"/>
        <v>-31.162051644369431</v>
      </c>
      <c r="CK48" t="str">
        <f t="shared" si="147"/>
        <v>22 Health professionals</v>
      </c>
      <c r="CL48" s="322">
        <f t="shared" si="136"/>
        <v>0.51683359842602816</v>
      </c>
      <c r="CM48" s="322">
        <f t="shared" si="136"/>
        <v>0.75476244582578167</v>
      </c>
      <c r="CN48" s="322">
        <f t="shared" si="136"/>
        <v>0.97714415214552408</v>
      </c>
      <c r="CO48" s="322">
        <f t="shared" si="136"/>
        <v>0.99778677537461558</v>
      </c>
      <c r="CP48" s="322">
        <f t="shared" si="136"/>
        <v>1.3848942246445648</v>
      </c>
      <c r="CR48" s="278">
        <f t="shared" si="137"/>
        <v>-45.832636032305032</v>
      </c>
      <c r="CS48" s="55">
        <f t="shared" si="138"/>
        <v>28.221445716182771</v>
      </c>
      <c r="CT48" s="55">
        <f t="shared" si="139"/>
        <v>-17.611190316122261</v>
      </c>
    </row>
    <row r="49" spans="1:98">
      <c r="A49" t="str">
        <f t="shared" si="103"/>
        <v>23 Teaching and other educational professionals</v>
      </c>
      <c r="B49" s="322">
        <f t="shared" si="104"/>
        <v>28.49881819620861</v>
      </c>
      <c r="C49" s="322">
        <f t="shared" si="104"/>
        <v>26.021301462406697</v>
      </c>
      <c r="D49" s="322">
        <f t="shared" si="104"/>
        <v>27.697892344495166</v>
      </c>
      <c r="E49" s="322">
        <f t="shared" si="104"/>
        <v>24.644033323373534</v>
      </c>
      <c r="F49" s="322">
        <f t="shared" si="104"/>
        <v>21.097611238343006</v>
      </c>
      <c r="H49" s="278">
        <f t="shared" si="105"/>
        <v>44.751869546617137</v>
      </c>
      <c r="I49" s="55">
        <f t="shared" si="106"/>
        <v>60.440823799029232</v>
      </c>
      <c r="J49" s="55">
        <f t="shared" si="107"/>
        <v>105.19269334564638</v>
      </c>
      <c r="L49" t="str">
        <f t="shared" si="140"/>
        <v>23 Teaching and other educational professionals</v>
      </c>
      <c r="M49" s="322">
        <f t="shared" si="108"/>
        <v>24.380973989436271</v>
      </c>
      <c r="N49" s="322">
        <f t="shared" si="108"/>
        <v>22.923166972657366</v>
      </c>
      <c r="O49" s="322">
        <f t="shared" si="108"/>
        <v>23.986987219358966</v>
      </c>
      <c r="P49" s="322">
        <f t="shared" si="108"/>
        <v>21.444923529210271</v>
      </c>
      <c r="Q49" s="322">
        <f t="shared" si="108"/>
        <v>18.265513243936525</v>
      </c>
      <c r="S49" s="278">
        <f t="shared" si="109"/>
        <v>41.880118575725177</v>
      </c>
      <c r="T49" s="55">
        <f t="shared" si="110"/>
        <v>61.512383982049926</v>
      </c>
      <c r="U49" s="55">
        <f t="shared" si="111"/>
        <v>103.3925025577751</v>
      </c>
      <c r="W49" t="str">
        <f t="shared" si="141"/>
        <v>23 Teaching and other educational professionals</v>
      </c>
      <c r="X49" s="322">
        <f t="shared" si="112"/>
        <v>7.5793005325595031</v>
      </c>
      <c r="Y49" s="322">
        <f t="shared" si="112"/>
        <v>6.1644153729096258</v>
      </c>
      <c r="Z49" s="322">
        <f t="shared" si="112"/>
        <v>6.2364781933001305</v>
      </c>
      <c r="AA49" s="322">
        <f t="shared" si="112"/>
        <v>4.4659729893823439</v>
      </c>
      <c r="AB49" s="322">
        <f t="shared" si="112"/>
        <v>2.7364409973312878</v>
      </c>
      <c r="AD49" s="278">
        <f t="shared" si="113"/>
        <v>-45.872961935003502</v>
      </c>
      <c r="AE49" s="55">
        <f t="shared" si="114"/>
        <v>38.863119817112349</v>
      </c>
      <c r="AF49" s="55">
        <f t="shared" si="115"/>
        <v>-7.0098421178911545</v>
      </c>
      <c r="AH49" t="str">
        <f t="shared" si="142"/>
        <v>23 Teaching and other educational professionals</v>
      </c>
      <c r="AI49" s="322">
        <f t="shared" si="116"/>
        <v>3.2554675265013691</v>
      </c>
      <c r="AJ49" s="322">
        <f t="shared" si="116"/>
        <v>1.7315194500284248</v>
      </c>
      <c r="AK49" s="322">
        <f t="shared" si="116"/>
        <v>1.5265435661022486</v>
      </c>
      <c r="AL49" s="322">
        <f t="shared" si="116"/>
        <v>0.81472133701493576</v>
      </c>
      <c r="AM49" s="322">
        <f t="shared" si="116"/>
        <v>0.74230486271909502</v>
      </c>
      <c r="AO49" s="278">
        <f t="shared" si="117"/>
        <v>-48.691230137391678</v>
      </c>
      <c r="AP49" s="55">
        <f t="shared" si="118"/>
        <v>16.551670032254055</v>
      </c>
      <c r="AQ49" s="55">
        <f t="shared" si="119"/>
        <v>-32.139560105137626</v>
      </c>
      <c r="AS49" t="str">
        <f t="shared" si="143"/>
        <v>23 Teaching and other educational professionals</v>
      </c>
      <c r="AT49" s="322">
        <f t="shared" si="120"/>
        <v>0.80248968008301058</v>
      </c>
      <c r="AU49" s="322">
        <f t="shared" si="120"/>
        <v>0.68031896127974745</v>
      </c>
      <c r="AV49" s="322">
        <f t="shared" si="120"/>
        <v>0.7185403643467233</v>
      </c>
      <c r="AW49" s="322">
        <f t="shared" si="120"/>
        <v>0.5165322517620482</v>
      </c>
      <c r="AX49" s="322">
        <f t="shared" si="120"/>
        <v>0.36396916152546899</v>
      </c>
      <c r="AZ49" s="278">
        <f t="shared" si="121"/>
        <v>-40.336879683926405</v>
      </c>
      <c r="BA49" s="55">
        <f t="shared" si="122"/>
        <v>35.143699003153692</v>
      </c>
      <c r="BB49" s="55">
        <f t="shared" si="123"/>
        <v>-5.1931806807727163</v>
      </c>
      <c r="BD49" t="str">
        <f t="shared" si="144"/>
        <v>23 Teaching and other educational professionals</v>
      </c>
      <c r="BE49" s="322">
        <f t="shared" si="124"/>
        <v>0.79294318368067462</v>
      </c>
      <c r="BF49" s="322">
        <f t="shared" si="124"/>
        <v>0.75031124056332121</v>
      </c>
      <c r="BG49" s="322">
        <f t="shared" si="124"/>
        <v>0.85588907592712893</v>
      </c>
      <c r="BH49" s="322">
        <f t="shared" si="124"/>
        <v>0.73805525530865801</v>
      </c>
      <c r="BI49" s="322">
        <f t="shared" si="124"/>
        <v>0.7356160597672986</v>
      </c>
      <c r="BK49" s="278">
        <f t="shared" si="125"/>
        <v>-9.2332665996828371</v>
      </c>
      <c r="BL49" s="55">
        <f t="shared" si="126"/>
        <v>40.116270607684321</v>
      </c>
      <c r="BM49" s="55">
        <f t="shared" si="127"/>
        <v>30.883004008001478</v>
      </c>
      <c r="BO49" t="str">
        <f t="shared" si="145"/>
        <v>23 Teaching and other educational professionals</v>
      </c>
      <c r="BP49" s="322">
        <f t="shared" si="128"/>
        <v>0.69357365464298082</v>
      </c>
      <c r="BQ49" s="322">
        <f t="shared" si="128"/>
        <v>0.67360919408857334</v>
      </c>
      <c r="BR49" s="322">
        <f t="shared" si="128"/>
        <v>0.70440806577493609</v>
      </c>
      <c r="BS49" s="322">
        <f t="shared" si="128"/>
        <v>0.59732532327184973</v>
      </c>
      <c r="BT49" s="322">
        <f t="shared" si="128"/>
        <v>0.51677165656600521</v>
      </c>
      <c r="BV49" s="278">
        <f t="shared" si="129"/>
        <v>-32.340550328462328</v>
      </c>
      <c r="BW49" s="55">
        <f t="shared" si="130"/>
        <v>43.463350337196225</v>
      </c>
      <c r="BX49" s="55">
        <f t="shared" si="131"/>
        <v>11.122800008733899</v>
      </c>
      <c r="BZ49" t="str">
        <f t="shared" si="146"/>
        <v>23 Teaching and other educational professionals</v>
      </c>
      <c r="CA49" s="322">
        <f t="shared" si="132"/>
        <v>0.64881715583053046</v>
      </c>
      <c r="CB49" s="322">
        <f t="shared" si="132"/>
        <v>0.70716811559084869</v>
      </c>
      <c r="CC49" s="322">
        <f t="shared" si="132"/>
        <v>0.78288837827472424</v>
      </c>
      <c r="CD49" s="322">
        <f t="shared" si="132"/>
        <v>0.71418175525072092</v>
      </c>
      <c r="CE49" s="322">
        <f t="shared" si="132"/>
        <v>0.65376134756031679</v>
      </c>
      <c r="CG49" s="278">
        <f t="shared" si="133"/>
        <v>-55.589312379232815</v>
      </c>
      <c r="CH49" s="55">
        <f t="shared" si="134"/>
        <v>32.577957933380702</v>
      </c>
      <c r="CI49" s="55">
        <f t="shared" si="135"/>
        <v>-23.01135444585211</v>
      </c>
      <c r="CK49" t="str">
        <f t="shared" si="147"/>
        <v>23 Teaching and other educational professionals</v>
      </c>
      <c r="CL49" s="322">
        <f t="shared" si="136"/>
        <v>0.35225247256387487</v>
      </c>
      <c r="CM49" s="322">
        <f t="shared" si="136"/>
        <v>0.47149684793275426</v>
      </c>
      <c r="CN49" s="322">
        <f t="shared" si="136"/>
        <v>0.66519736270936447</v>
      </c>
      <c r="CO49" s="322">
        <f t="shared" si="136"/>
        <v>0.72800575086427277</v>
      </c>
      <c r="CP49" s="322">
        <f t="shared" si="136"/>
        <v>0.96035713329090888</v>
      </c>
      <c r="CR49" s="278">
        <f t="shared" si="137"/>
        <v>-44.822504717762435</v>
      </c>
      <c r="CS49" s="55">
        <f t="shared" si="138"/>
        <v>30.001890531825907</v>
      </c>
      <c r="CT49" s="55">
        <f t="shared" si="139"/>
        <v>-14.820614185936526</v>
      </c>
    </row>
    <row r="50" spans="1:98">
      <c r="A50" t="str">
        <f t="shared" si="103"/>
        <v>24 Business, media and public service professionals</v>
      </c>
      <c r="B50" s="322">
        <f t="shared" si="104"/>
        <v>6.1249416649075092</v>
      </c>
      <c r="C50" s="322">
        <f t="shared" si="104"/>
        <v>6.1981368635236507</v>
      </c>
      <c r="D50" s="322">
        <f t="shared" si="104"/>
        <v>6.4864084173788568</v>
      </c>
      <c r="E50" s="322">
        <f t="shared" si="104"/>
        <v>6.5723882927438915</v>
      </c>
      <c r="F50" s="322">
        <f t="shared" si="104"/>
        <v>6.9051304159578999</v>
      </c>
      <c r="H50" s="278">
        <f t="shared" si="105"/>
        <v>102.30434662605265</v>
      </c>
      <c r="I50" s="55">
        <f t="shared" si="106"/>
        <v>71.47637878690422</v>
      </c>
      <c r="J50" s="55">
        <f t="shared" si="107"/>
        <v>173.78072541295688</v>
      </c>
      <c r="L50" t="str">
        <f t="shared" si="140"/>
        <v>24 Business, media and public service professionals</v>
      </c>
      <c r="M50" s="322">
        <f t="shared" si="108"/>
        <v>11.333649636196167</v>
      </c>
      <c r="N50" s="322">
        <f t="shared" si="108"/>
        <v>11.811625457632351</v>
      </c>
      <c r="O50" s="322">
        <f t="shared" si="108"/>
        <v>11.881168753935135</v>
      </c>
      <c r="P50" s="322">
        <f t="shared" si="108"/>
        <v>11.511373671336674</v>
      </c>
      <c r="Q50" s="322">
        <f t="shared" si="108"/>
        <v>10.913330227506401</v>
      </c>
      <c r="S50" s="278">
        <f t="shared" si="109"/>
        <v>71.144717485963071</v>
      </c>
      <c r="T50" s="55">
        <f t="shared" si="110"/>
        <v>64.537433943815415</v>
      </c>
      <c r="U50" s="55">
        <f t="shared" si="111"/>
        <v>135.68215142977849</v>
      </c>
      <c r="W50" t="str">
        <f t="shared" si="141"/>
        <v>24 Business, media and public service professionals</v>
      </c>
      <c r="X50" s="322">
        <f t="shared" si="112"/>
        <v>10.064944484193509</v>
      </c>
      <c r="Y50" s="322">
        <f t="shared" si="112"/>
        <v>10.219571531487299</v>
      </c>
      <c r="Z50" s="322">
        <f t="shared" si="112"/>
        <v>10.829839812685123</v>
      </c>
      <c r="AA50" s="322">
        <f t="shared" si="112"/>
        <v>10.179000203347396</v>
      </c>
      <c r="AB50" s="322">
        <f t="shared" si="112"/>
        <v>9.5554230401937552</v>
      </c>
      <c r="AD50" s="278">
        <f t="shared" si="113"/>
        <v>8.841738028533431</v>
      </c>
      <c r="AE50" s="55">
        <f t="shared" si="114"/>
        <v>54.147611059674858</v>
      </c>
      <c r="AF50" s="55">
        <f t="shared" si="115"/>
        <v>62.989349088208293</v>
      </c>
      <c r="AH50" t="str">
        <f t="shared" si="142"/>
        <v>24 Business, media and public service professionals</v>
      </c>
      <c r="AI50" s="322">
        <f t="shared" si="116"/>
        <v>3.7195658080015979</v>
      </c>
      <c r="AJ50" s="322">
        <f t="shared" si="116"/>
        <v>3.6782150967614875</v>
      </c>
      <c r="AK50" s="322">
        <f t="shared" si="116"/>
        <v>3.9452460227224004</v>
      </c>
      <c r="AL50" s="322">
        <f t="shared" si="116"/>
        <v>3.6046782862862994</v>
      </c>
      <c r="AM50" s="322">
        <f t="shared" si="116"/>
        <v>3.3954320041293999</v>
      </c>
      <c r="AO50" s="278">
        <f t="shared" si="117"/>
        <v>-9.1887931675622152</v>
      </c>
      <c r="AP50" s="55">
        <f t="shared" si="118"/>
        <v>34.655637844553155</v>
      </c>
      <c r="AQ50" s="55">
        <f t="shared" si="119"/>
        <v>25.466844676990942</v>
      </c>
      <c r="AS50" t="str">
        <f t="shared" si="143"/>
        <v>24 Business, media and public service professionals</v>
      </c>
      <c r="AT50" s="322">
        <f t="shared" si="120"/>
        <v>5.4862217011015391</v>
      </c>
      <c r="AU50" s="322">
        <f t="shared" si="120"/>
        <v>5.5819790225570713</v>
      </c>
      <c r="AV50" s="322">
        <f t="shared" si="120"/>
        <v>6.0396088221509858</v>
      </c>
      <c r="AW50" s="322">
        <f t="shared" si="120"/>
        <v>5.7873988307548263</v>
      </c>
      <c r="AX50" s="322">
        <f t="shared" si="120"/>
        <v>5.4925215973897732</v>
      </c>
      <c r="AZ50" s="278">
        <f t="shared" si="121"/>
        <v>7.1162861832211055</v>
      </c>
      <c r="BA50" s="55">
        <f t="shared" si="122"/>
        <v>49.395236140477884</v>
      </c>
      <c r="BB50" s="55">
        <f t="shared" si="123"/>
        <v>56.511522323698991</v>
      </c>
      <c r="BD50" t="str">
        <f t="shared" si="144"/>
        <v>24 Business, media and public service professionals</v>
      </c>
      <c r="BE50" s="322">
        <f t="shared" si="124"/>
        <v>3.0952134195883851</v>
      </c>
      <c r="BF50" s="322">
        <f t="shared" si="124"/>
        <v>3.4824359782100118</v>
      </c>
      <c r="BG50" s="322">
        <f t="shared" si="124"/>
        <v>4.0435292582530318</v>
      </c>
      <c r="BH50" s="322">
        <f t="shared" si="124"/>
        <v>4.0893119534124187</v>
      </c>
      <c r="BI50" s="322">
        <f t="shared" si="124"/>
        <v>4.4273934766637231</v>
      </c>
      <c r="BK50" s="278">
        <f t="shared" si="125"/>
        <v>15.632660498176859</v>
      </c>
      <c r="BL50" s="55">
        <f t="shared" si="126"/>
        <v>45.887969589947005</v>
      </c>
      <c r="BM50" s="55">
        <f t="shared" si="127"/>
        <v>61.520630088123852</v>
      </c>
      <c r="BO50" t="str">
        <f t="shared" si="145"/>
        <v>24 Business, media and public service professionals</v>
      </c>
      <c r="BP50" s="322">
        <f t="shared" si="128"/>
        <v>2.2309337640823141</v>
      </c>
      <c r="BQ50" s="322">
        <f t="shared" si="128"/>
        <v>2.359435874355726</v>
      </c>
      <c r="BR50" s="322">
        <f t="shared" si="128"/>
        <v>2.6848835440560519</v>
      </c>
      <c r="BS50" s="322">
        <f t="shared" si="128"/>
        <v>2.5077762881592003</v>
      </c>
      <c r="BT50" s="322">
        <f t="shared" si="128"/>
        <v>2.4619159585215868</v>
      </c>
      <c r="BV50" s="278">
        <f t="shared" si="129"/>
        <v>-15.432816679559528</v>
      </c>
      <c r="BW50" s="55">
        <f t="shared" si="130"/>
        <v>40.945152716332892</v>
      </c>
      <c r="BX50" s="55">
        <f t="shared" si="131"/>
        <v>25.512336036773362</v>
      </c>
      <c r="BZ50" t="str">
        <f t="shared" si="146"/>
        <v>24 Business, media and public service professionals</v>
      </c>
      <c r="CA50" s="322">
        <f t="shared" si="132"/>
        <v>2.0768112513823369</v>
      </c>
      <c r="CB50" s="322">
        <f t="shared" si="132"/>
        <v>2.4244997672151745</v>
      </c>
      <c r="CC50" s="322">
        <f t="shared" si="132"/>
        <v>2.8152126093976757</v>
      </c>
      <c r="CD50" s="322">
        <f t="shared" si="132"/>
        <v>2.7733616285936127</v>
      </c>
      <c r="CE50" s="322">
        <f t="shared" si="132"/>
        <v>2.8311931588247408</v>
      </c>
      <c r="CG50" s="278">
        <f t="shared" si="133"/>
        <v>-46.51568909607888</v>
      </c>
      <c r="CH50" s="55">
        <f t="shared" si="134"/>
        <v>29.997278579907</v>
      </c>
      <c r="CI50" s="55">
        <f t="shared" si="135"/>
        <v>-16.518410516171876</v>
      </c>
      <c r="CK50" t="str">
        <f t="shared" si="147"/>
        <v>24 Business, media and public service professionals</v>
      </c>
      <c r="CL50" s="322">
        <f t="shared" si="136"/>
        <v>1.2651986533972746</v>
      </c>
      <c r="CM50" s="322">
        <f t="shared" si="136"/>
        <v>1.6407264341053989</v>
      </c>
      <c r="CN50" s="322">
        <f t="shared" si="136"/>
        <v>2.0319781419729415</v>
      </c>
      <c r="CO50" s="322">
        <f t="shared" si="136"/>
        <v>2.326467931212294</v>
      </c>
      <c r="CP50" s="322">
        <f t="shared" si="136"/>
        <v>2.8916056444446876</v>
      </c>
      <c r="CR50" s="278">
        <f t="shared" si="137"/>
        <v>-45.612416087022289</v>
      </c>
      <c r="CS50" s="55">
        <f t="shared" si="138"/>
        <v>25.335438052513187</v>
      </c>
      <c r="CT50" s="55">
        <f t="shared" si="139"/>
        <v>-20.276978034509106</v>
      </c>
    </row>
    <row r="51" spans="1:98">
      <c r="A51" t="str">
        <f t="shared" si="103"/>
        <v>31 Science, engineering and technology associate professionals</v>
      </c>
      <c r="B51" s="322">
        <f t="shared" si="104"/>
        <v>2.0607751345951351</v>
      </c>
      <c r="C51" s="322">
        <f t="shared" si="104"/>
        <v>1.9212461348142842</v>
      </c>
      <c r="D51" s="322">
        <f t="shared" si="104"/>
        <v>1.8783712472564293</v>
      </c>
      <c r="E51" s="322">
        <f t="shared" si="104"/>
        <v>1.8216262209453222</v>
      </c>
      <c r="F51" s="322">
        <f t="shared" si="104"/>
        <v>2.0584033868412948</v>
      </c>
      <c r="H51" s="278">
        <f t="shared" si="105"/>
        <v>108.2507984139143</v>
      </c>
      <c r="I51" s="55">
        <f t="shared" si="106"/>
        <v>66.043569869070538</v>
      </c>
      <c r="J51" s="55">
        <f t="shared" si="107"/>
        <v>174.29436828298483</v>
      </c>
      <c r="L51" t="str">
        <f t="shared" si="140"/>
        <v>31 Science, engineering and technology associate professionals</v>
      </c>
      <c r="M51" s="322">
        <f t="shared" si="108"/>
        <v>1.9707634935618008</v>
      </c>
      <c r="N51" s="322">
        <f t="shared" si="108"/>
        <v>1.9548093497864083</v>
      </c>
      <c r="O51" s="322">
        <f t="shared" si="108"/>
        <v>1.8616089800404438</v>
      </c>
      <c r="P51" s="322">
        <f t="shared" si="108"/>
        <v>1.6586808623324745</v>
      </c>
      <c r="Q51" s="322">
        <f t="shared" si="108"/>
        <v>1.6007960444862319</v>
      </c>
      <c r="S51" s="278">
        <f t="shared" si="109"/>
        <v>60.218589391551347</v>
      </c>
      <c r="T51" s="55">
        <f t="shared" si="110"/>
        <v>52.087540227373687</v>
      </c>
      <c r="U51" s="55">
        <f t="shared" si="111"/>
        <v>112.30612961892503</v>
      </c>
      <c r="W51" t="str">
        <f t="shared" si="141"/>
        <v>31 Science, engineering and technology associate professionals</v>
      </c>
      <c r="X51" s="322">
        <f t="shared" si="112"/>
        <v>2.167999520662907</v>
      </c>
      <c r="Y51" s="322">
        <f t="shared" si="112"/>
        <v>2.1546493869282366</v>
      </c>
      <c r="Z51" s="322">
        <f t="shared" si="112"/>
        <v>2.1377511008728765</v>
      </c>
      <c r="AA51" s="322">
        <f t="shared" si="112"/>
        <v>1.9003056756136956</v>
      </c>
      <c r="AB51" s="322">
        <f t="shared" si="112"/>
        <v>1.8161129672114282</v>
      </c>
      <c r="AD51" s="278">
        <f t="shared" si="113"/>
        <v>4.7980743480951729</v>
      </c>
      <c r="AE51" s="55">
        <f t="shared" si="114"/>
        <v>43.679404130168706</v>
      </c>
      <c r="AF51" s="55">
        <f t="shared" si="115"/>
        <v>48.477478478263883</v>
      </c>
      <c r="AH51" t="str">
        <f t="shared" si="142"/>
        <v>31 Science, engineering and technology associate professionals</v>
      </c>
      <c r="AI51" s="322">
        <f t="shared" si="116"/>
        <v>1.1833822935587583</v>
      </c>
      <c r="AJ51" s="322">
        <f t="shared" si="116"/>
        <v>1.3512283426339524</v>
      </c>
      <c r="AK51" s="322">
        <f t="shared" si="116"/>
        <v>1.4225989759447277</v>
      </c>
      <c r="AL51" s="322">
        <f t="shared" si="116"/>
        <v>1.4647382987719828</v>
      </c>
      <c r="AM51" s="322">
        <f t="shared" si="116"/>
        <v>1.7274603896800012</v>
      </c>
      <c r="AO51" s="278">
        <f t="shared" si="117"/>
        <v>28.128017438618496</v>
      </c>
      <c r="AP51" s="55">
        <f t="shared" si="118"/>
        <v>50.360569413833886</v>
      </c>
      <c r="AQ51" s="55">
        <f t="shared" si="119"/>
        <v>78.488586852452386</v>
      </c>
      <c r="AS51" t="str">
        <f t="shared" si="143"/>
        <v>31 Science, engineering and technology associate professionals</v>
      </c>
      <c r="AT51" s="322">
        <f t="shared" si="120"/>
        <v>3.4188443980063861</v>
      </c>
      <c r="AU51" s="322">
        <f t="shared" si="120"/>
        <v>3.4481472592886613</v>
      </c>
      <c r="AV51" s="322">
        <f t="shared" si="120"/>
        <v>3.4259442402758191</v>
      </c>
      <c r="AW51" s="322">
        <f t="shared" si="120"/>
        <v>2.7783849645854617</v>
      </c>
      <c r="AX51" s="322">
        <f t="shared" si="120"/>
        <v>2.3907620483039218</v>
      </c>
      <c r="AZ51" s="278">
        <f t="shared" si="121"/>
        <v>-17.80439294783422</v>
      </c>
      <c r="BA51" s="55">
        <f t="shared" si="122"/>
        <v>31.795631152979098</v>
      </c>
      <c r="BB51" s="55">
        <f t="shared" si="123"/>
        <v>13.991238205144876</v>
      </c>
      <c r="BD51" t="str">
        <f t="shared" si="144"/>
        <v>31 Science, engineering and technology associate professionals</v>
      </c>
      <c r="BE51" s="322">
        <f t="shared" si="124"/>
        <v>1.5190664709312571</v>
      </c>
      <c r="BF51" s="322">
        <f t="shared" si="124"/>
        <v>1.4134781892518034</v>
      </c>
      <c r="BG51" s="322">
        <f t="shared" si="124"/>
        <v>1.6050467504299086</v>
      </c>
      <c r="BH51" s="322">
        <f t="shared" si="124"/>
        <v>1.3119876893872622</v>
      </c>
      <c r="BI51" s="322">
        <f t="shared" si="124"/>
        <v>1.1311765765004762</v>
      </c>
      <c r="BK51" s="278">
        <f t="shared" si="125"/>
        <v>-25.572110526567897</v>
      </c>
      <c r="BL51" s="55">
        <f t="shared" si="126"/>
        <v>28.280312854746388</v>
      </c>
      <c r="BM51" s="55">
        <f t="shared" si="127"/>
        <v>2.7082023281784893</v>
      </c>
      <c r="BO51" t="str">
        <f t="shared" si="145"/>
        <v>31 Science, engineering and technology associate professionals</v>
      </c>
      <c r="BP51" s="322">
        <f t="shared" si="128"/>
        <v>1.0424877562376316</v>
      </c>
      <c r="BQ51" s="322">
        <f t="shared" si="128"/>
        <v>1.1622382982916502</v>
      </c>
      <c r="BR51" s="322">
        <f t="shared" si="128"/>
        <v>1.3755345746485177</v>
      </c>
      <c r="BS51" s="322">
        <f t="shared" si="128"/>
        <v>1.2387088524421335</v>
      </c>
      <c r="BT51" s="322">
        <f t="shared" si="128"/>
        <v>1.3622023994572523</v>
      </c>
      <c r="BV51" s="278">
        <f t="shared" si="129"/>
        <v>-8.6677356001884203</v>
      </c>
      <c r="BW51" s="55">
        <f t="shared" si="130"/>
        <v>36.117298975782312</v>
      </c>
      <c r="BX51" s="55">
        <f t="shared" si="131"/>
        <v>27.449563375593893</v>
      </c>
      <c r="BZ51" t="str">
        <f t="shared" si="146"/>
        <v>31 Science, engineering and technology associate professionals</v>
      </c>
      <c r="CA51" s="322">
        <f t="shared" si="132"/>
        <v>1.1787367895628644</v>
      </c>
      <c r="CB51" s="322">
        <f t="shared" si="132"/>
        <v>1.3797537578257972</v>
      </c>
      <c r="CC51" s="322">
        <f t="shared" si="132"/>
        <v>1.7611500435261631</v>
      </c>
      <c r="CD51" s="322">
        <f t="shared" si="132"/>
        <v>1.5985361128848463</v>
      </c>
      <c r="CE51" s="322">
        <f t="shared" si="132"/>
        <v>1.9955421532873636</v>
      </c>
      <c r="CG51" s="278">
        <f t="shared" si="133"/>
        <v>-39.739510963877741</v>
      </c>
      <c r="CH51" s="55">
        <f t="shared" si="134"/>
        <v>26.750075009793356</v>
      </c>
      <c r="CI51" s="55">
        <f t="shared" si="135"/>
        <v>-12.98943595408438</v>
      </c>
      <c r="CK51" t="str">
        <f t="shared" si="147"/>
        <v>31 Science, engineering and technology associate professionals</v>
      </c>
      <c r="CL51" s="322">
        <f t="shared" si="136"/>
        <v>0.55400641084282465</v>
      </c>
      <c r="CM51" s="322">
        <f t="shared" si="136"/>
        <v>0.7599700653479301</v>
      </c>
      <c r="CN51" s="322">
        <f t="shared" si="136"/>
        <v>1.0202624358159269</v>
      </c>
      <c r="CO51" s="322">
        <f t="shared" si="136"/>
        <v>1.2810535253962883</v>
      </c>
      <c r="CP51" s="322">
        <f t="shared" si="136"/>
        <v>2.3549689605192063</v>
      </c>
      <c r="CR51" s="278">
        <f t="shared" si="137"/>
        <v>-11.782849657881624</v>
      </c>
      <c r="CS51" s="55">
        <f t="shared" si="138"/>
        <v>32.667132944578967</v>
      </c>
      <c r="CT51" s="55">
        <f t="shared" si="139"/>
        <v>20.884283286697347</v>
      </c>
    </row>
    <row r="52" spans="1:98">
      <c r="A52" t="str">
        <f t="shared" si="103"/>
        <v>32 Health and social care associate professionals</v>
      </c>
      <c r="B52" s="322">
        <f t="shared" si="104"/>
        <v>0.53059902283004223</v>
      </c>
      <c r="C52" s="322">
        <f t="shared" si="104"/>
        <v>0.59286223467388066</v>
      </c>
      <c r="D52" s="322">
        <f t="shared" si="104"/>
        <v>0.5461868249777595</v>
      </c>
      <c r="E52" s="322">
        <f t="shared" si="104"/>
        <v>0.91381290589520447</v>
      </c>
      <c r="F52" s="322">
        <f t="shared" si="104"/>
        <v>1.3350262875833501</v>
      </c>
      <c r="H52" s="278">
        <f t="shared" si="105"/>
        <v>364.50053280421326</v>
      </c>
      <c r="I52" s="55">
        <f t="shared" si="106"/>
        <v>158.48165680854393</v>
      </c>
      <c r="J52" s="55">
        <f t="shared" si="107"/>
        <v>522.98218961275722</v>
      </c>
      <c r="L52" t="str">
        <f t="shared" si="140"/>
        <v>32 Health and social care associate professionals</v>
      </c>
      <c r="M52" s="322">
        <f t="shared" si="108"/>
        <v>2.0684494912795985</v>
      </c>
      <c r="N52" s="322">
        <f t="shared" si="108"/>
        <v>2.5296730483937866</v>
      </c>
      <c r="O52" s="322">
        <f t="shared" si="108"/>
        <v>2.5896274145116438</v>
      </c>
      <c r="P52" s="322">
        <f t="shared" si="108"/>
        <v>4.262846661767199</v>
      </c>
      <c r="Q52" s="322">
        <f t="shared" si="108"/>
        <v>5.5324410387344916</v>
      </c>
      <c r="S52" s="278">
        <f t="shared" si="109"/>
        <v>298.05664358354801</v>
      </c>
      <c r="T52" s="55">
        <f t="shared" si="110"/>
        <v>140.22717998462838</v>
      </c>
      <c r="U52" s="55">
        <f t="shared" si="111"/>
        <v>438.28382356817644</v>
      </c>
      <c r="W52" t="str">
        <f t="shared" si="141"/>
        <v>32 Health and social care associate professionals</v>
      </c>
      <c r="X52" s="322">
        <f t="shared" si="112"/>
        <v>3.054212180292422</v>
      </c>
      <c r="Y52" s="322">
        <f t="shared" si="112"/>
        <v>3.8160400297255452</v>
      </c>
      <c r="Z52" s="322">
        <f t="shared" si="112"/>
        <v>3.8127018175159009</v>
      </c>
      <c r="AA52" s="322">
        <f t="shared" si="112"/>
        <v>6.1273306838599257</v>
      </c>
      <c r="AB52" s="322">
        <f t="shared" si="112"/>
        <v>6.8789025859526873</v>
      </c>
      <c r="AD52" s="278">
        <f t="shared" si="113"/>
        <v>122.56347825219207</v>
      </c>
      <c r="AE52" s="55">
        <f t="shared" si="114"/>
        <v>118.60293528708669</v>
      </c>
      <c r="AF52" s="55">
        <f t="shared" si="115"/>
        <v>241.16641353927878</v>
      </c>
      <c r="AH52" t="str">
        <f t="shared" si="142"/>
        <v>32 Health and social care associate professionals</v>
      </c>
      <c r="AI52" s="322">
        <f t="shared" si="116"/>
        <v>6.8540238071320356</v>
      </c>
      <c r="AJ52" s="322">
        <f t="shared" si="116"/>
        <v>6.9606178263901874</v>
      </c>
      <c r="AK52" s="322">
        <f t="shared" si="116"/>
        <v>6.5806266044227</v>
      </c>
      <c r="AL52" s="322">
        <f t="shared" si="116"/>
        <v>7.6298381556924975</v>
      </c>
      <c r="AM52" s="322">
        <f t="shared" si="116"/>
        <v>4.4578625760952431</v>
      </c>
      <c r="AO52" s="278">
        <f t="shared" si="117"/>
        <v>-28.521088982209292</v>
      </c>
      <c r="AP52" s="55">
        <f t="shared" si="118"/>
        <v>44.233104155974232</v>
      </c>
      <c r="AQ52" s="55">
        <f t="shared" si="119"/>
        <v>15.712015173764939</v>
      </c>
      <c r="AS52" t="str">
        <f t="shared" si="143"/>
        <v>32 Health and social care associate professionals</v>
      </c>
      <c r="AT52" s="322">
        <f t="shared" si="120"/>
        <v>1.4316077675661578</v>
      </c>
      <c r="AU52" s="322">
        <f t="shared" si="120"/>
        <v>1.6832674869757762</v>
      </c>
      <c r="AV52" s="322">
        <f t="shared" si="120"/>
        <v>1.8056800063533489</v>
      </c>
      <c r="AW52" s="322">
        <f t="shared" si="120"/>
        <v>2.5429869373941156</v>
      </c>
      <c r="AX52" s="322">
        <f t="shared" si="120"/>
        <v>2.6490265364163332</v>
      </c>
      <c r="AZ52" s="278">
        <f t="shared" si="121"/>
        <v>72.797742331544981</v>
      </c>
      <c r="BA52" s="55">
        <f t="shared" si="122"/>
        <v>86.548125467426985</v>
      </c>
      <c r="BB52" s="55">
        <f t="shared" si="123"/>
        <v>159.34586779897197</v>
      </c>
      <c r="BD52" t="str">
        <f t="shared" si="144"/>
        <v>32 Health and social care associate professionals</v>
      </c>
      <c r="BE52" s="322">
        <f t="shared" si="124"/>
        <v>1.4788118252904516</v>
      </c>
      <c r="BF52" s="322">
        <f t="shared" si="124"/>
        <v>1.9003156889512856</v>
      </c>
      <c r="BG52" s="322">
        <f t="shared" si="124"/>
        <v>1.8890840037581316</v>
      </c>
      <c r="BH52" s="322">
        <f t="shared" si="124"/>
        <v>3.0464734036926204</v>
      </c>
      <c r="BI52" s="322">
        <f t="shared" si="124"/>
        <v>3.3551362191273504</v>
      </c>
      <c r="BK52" s="278">
        <f t="shared" si="125"/>
        <v>87.565031326906038</v>
      </c>
      <c r="BL52" s="55">
        <f t="shared" si="126"/>
        <v>97.466116568968062</v>
      </c>
      <c r="BM52" s="55">
        <f t="shared" si="127"/>
        <v>185.03114789587408</v>
      </c>
      <c r="BO52" t="str">
        <f t="shared" si="145"/>
        <v>32 Health and social care associate professionals</v>
      </c>
      <c r="BP52" s="322">
        <f t="shared" si="128"/>
        <v>1.2157433817332242</v>
      </c>
      <c r="BQ52" s="322">
        <f t="shared" si="128"/>
        <v>1.4715875464508033</v>
      </c>
      <c r="BR52" s="322">
        <f t="shared" si="128"/>
        <v>1.407328329705352</v>
      </c>
      <c r="BS52" s="322">
        <f t="shared" si="128"/>
        <v>2.159193394902311</v>
      </c>
      <c r="BT52" s="322">
        <f t="shared" si="128"/>
        <v>2.1254978558795297</v>
      </c>
      <c r="BV52" s="278">
        <f t="shared" si="129"/>
        <v>39.289806922535611</v>
      </c>
      <c r="BW52" s="55">
        <f t="shared" si="130"/>
        <v>82.443486300450928</v>
      </c>
      <c r="BX52" s="55">
        <f t="shared" si="131"/>
        <v>121.73329322298653</v>
      </c>
      <c r="BZ52" t="str">
        <f t="shared" si="146"/>
        <v>32 Health and social care associate professionals</v>
      </c>
      <c r="CA52" s="322">
        <f t="shared" si="132"/>
        <v>0.71495973439270477</v>
      </c>
      <c r="CB52" s="322">
        <f t="shared" si="132"/>
        <v>0.81426597521962329</v>
      </c>
      <c r="CC52" s="322">
        <f t="shared" si="132"/>
        <v>0.7387531755795409</v>
      </c>
      <c r="CD52" s="322">
        <f t="shared" si="132"/>
        <v>1.0329595099346742</v>
      </c>
      <c r="CE52" s="322">
        <f t="shared" si="132"/>
        <v>0.95030667707578287</v>
      </c>
      <c r="CG52" s="278">
        <f t="shared" si="133"/>
        <v>-31.587962751993647</v>
      </c>
      <c r="CH52" s="55">
        <f t="shared" si="134"/>
        <v>45.4724348723012</v>
      </c>
      <c r="CI52" s="55">
        <f t="shared" si="135"/>
        <v>13.884472120307551</v>
      </c>
      <c r="CK52" t="str">
        <f t="shared" si="147"/>
        <v>32 Health and social care associate professionals</v>
      </c>
      <c r="CL52" s="322">
        <f t="shared" si="136"/>
        <v>0.24567459766087407</v>
      </c>
      <c r="CM52" s="322">
        <f t="shared" si="136"/>
        <v>0.31968202569661064</v>
      </c>
      <c r="CN52" s="322">
        <f t="shared" si="136"/>
        <v>0.38426925838556814</v>
      </c>
      <c r="CO52" s="322">
        <f t="shared" si="136"/>
        <v>0.63735948584190494</v>
      </c>
      <c r="CP52" s="322">
        <f t="shared" si="136"/>
        <v>0.94529849602051197</v>
      </c>
      <c r="CR52" s="278">
        <f t="shared" si="137"/>
        <v>-5.9815560402421015</v>
      </c>
      <c r="CS52" s="55">
        <f t="shared" si="138"/>
        <v>42.396889110798526</v>
      </c>
      <c r="CT52" s="55">
        <f t="shared" si="139"/>
        <v>36.415333070556422</v>
      </c>
    </row>
    <row r="53" spans="1:98">
      <c r="A53" t="str">
        <f t="shared" si="103"/>
        <v>33 Protective service occupations</v>
      </c>
      <c r="B53" s="322">
        <f t="shared" si="104"/>
        <v>0.31361308114783731</v>
      </c>
      <c r="C53" s="322">
        <f t="shared" si="104"/>
        <v>0.34110726094087579</v>
      </c>
      <c r="D53" s="322">
        <f t="shared" si="104"/>
        <v>0.31633241674927209</v>
      </c>
      <c r="E53" s="322">
        <f t="shared" si="104"/>
        <v>0.30201089535741132</v>
      </c>
      <c r="F53" s="322">
        <f t="shared" si="104"/>
        <v>0.35579446972347695</v>
      </c>
      <c r="H53" s="278">
        <f t="shared" si="105"/>
        <v>113.74359673599447</v>
      </c>
      <c r="I53" s="55">
        <f t="shared" si="106"/>
        <v>56.402653110559854</v>
      </c>
      <c r="J53" s="55">
        <f t="shared" si="107"/>
        <v>170.14624984655435</v>
      </c>
      <c r="L53" t="str">
        <f t="shared" si="140"/>
        <v>33 Protective service occupations</v>
      </c>
      <c r="M53" s="322">
        <f t="shared" si="108"/>
        <v>0.60471182395560596</v>
      </c>
      <c r="N53" s="322">
        <f t="shared" si="108"/>
        <v>0.59495421964081308</v>
      </c>
      <c r="O53" s="322">
        <f t="shared" si="108"/>
        <v>0.54881502965999662</v>
      </c>
      <c r="P53" s="322">
        <f t="shared" si="108"/>
        <v>0.47759386591335684</v>
      </c>
      <c r="Q53" s="322">
        <f t="shared" si="108"/>
        <v>0.53181051081100106</v>
      </c>
      <c r="S53" s="278">
        <f t="shared" si="109"/>
        <v>80.549498629881001</v>
      </c>
      <c r="T53" s="55">
        <f t="shared" si="110"/>
        <v>42.538111921167463</v>
      </c>
      <c r="U53" s="55">
        <f t="shared" si="111"/>
        <v>123.08761055104847</v>
      </c>
      <c r="W53" t="str">
        <f t="shared" si="141"/>
        <v>33 Protective service occupations</v>
      </c>
      <c r="X53" s="322">
        <f t="shared" si="112"/>
        <v>1.1426628270794796</v>
      </c>
      <c r="Y53" s="322">
        <f t="shared" si="112"/>
        <v>1.1689806711387243</v>
      </c>
      <c r="Z53" s="322">
        <f t="shared" si="112"/>
        <v>1.2350913648603101</v>
      </c>
      <c r="AA53" s="322">
        <f t="shared" si="112"/>
        <v>1.0513109679610306</v>
      </c>
      <c r="AB53" s="322">
        <f t="shared" si="112"/>
        <v>1.2653965262555447</v>
      </c>
      <c r="AD53" s="278">
        <f t="shared" si="113"/>
        <v>26.384884120157686</v>
      </c>
      <c r="AE53" s="55">
        <f t="shared" si="114"/>
        <v>43.668922117190533</v>
      </c>
      <c r="AF53" s="55">
        <f t="shared" si="115"/>
        <v>70.053806237348226</v>
      </c>
      <c r="AH53" t="str">
        <f t="shared" si="142"/>
        <v>33 Protective service occupations</v>
      </c>
      <c r="AI53" s="322">
        <f t="shared" si="116"/>
        <v>1.0780642865051739</v>
      </c>
      <c r="AJ53" s="322">
        <f t="shared" si="116"/>
        <v>1.1486913796197518</v>
      </c>
      <c r="AK53" s="322">
        <f t="shared" si="116"/>
        <v>1.1932701126700527</v>
      </c>
      <c r="AL53" s="322">
        <f t="shared" si="116"/>
        <v>1.1463898277675695</v>
      </c>
      <c r="AM53" s="322">
        <f t="shared" si="116"/>
        <v>1.4459114415865029</v>
      </c>
      <c r="AO53" s="278">
        <f t="shared" si="117"/>
        <v>27.856093601250887</v>
      </c>
      <c r="AP53" s="55">
        <f t="shared" si="118"/>
        <v>38.393581762043979</v>
      </c>
      <c r="AQ53" s="55">
        <f t="shared" si="119"/>
        <v>66.249675363294855</v>
      </c>
      <c r="AS53" t="str">
        <f t="shared" si="143"/>
        <v>33 Protective service occupations</v>
      </c>
      <c r="AT53" s="322">
        <f t="shared" si="120"/>
        <v>1.0006452449809713</v>
      </c>
      <c r="AU53" s="322">
        <f t="shared" si="120"/>
        <v>0.95846448899901648</v>
      </c>
      <c r="AV53" s="322">
        <f t="shared" si="120"/>
        <v>0.99284963204044774</v>
      </c>
      <c r="AW53" s="322">
        <f t="shared" si="120"/>
        <v>0.78140558631986035</v>
      </c>
      <c r="AX53" s="322">
        <f t="shared" si="120"/>
        <v>0.80739831100278792</v>
      </c>
      <c r="AZ53" s="278">
        <f t="shared" si="121"/>
        <v>-4.2151327242857946</v>
      </c>
      <c r="BA53" s="55">
        <f t="shared" si="122"/>
        <v>33.084128932963772</v>
      </c>
      <c r="BB53" s="55">
        <f t="shared" si="123"/>
        <v>28.868996208677977</v>
      </c>
      <c r="BD53" t="str">
        <f t="shared" si="144"/>
        <v>33 Protective service occupations</v>
      </c>
      <c r="BE53" s="322">
        <f t="shared" si="124"/>
        <v>0.84693638234386681</v>
      </c>
      <c r="BF53" s="322">
        <f t="shared" si="124"/>
        <v>0.76244948728985751</v>
      </c>
      <c r="BG53" s="322">
        <f t="shared" si="124"/>
        <v>0.84464454259787314</v>
      </c>
      <c r="BH53" s="322">
        <f t="shared" si="124"/>
        <v>0.68069608668678705</v>
      </c>
      <c r="BI53" s="322">
        <f t="shared" si="124"/>
        <v>0.63982941027829887</v>
      </c>
      <c r="BK53" s="278">
        <f t="shared" si="125"/>
        <v>-20.001249143037228</v>
      </c>
      <c r="BL53" s="55">
        <f t="shared" si="126"/>
        <v>21.603621598218705</v>
      </c>
      <c r="BM53" s="55">
        <f t="shared" si="127"/>
        <v>1.6023724551814766</v>
      </c>
      <c r="BO53" t="str">
        <f t="shared" si="145"/>
        <v>33 Protective service occupations</v>
      </c>
      <c r="BP53" s="322">
        <f t="shared" si="128"/>
        <v>0.96118290703483722</v>
      </c>
      <c r="BQ53" s="322">
        <f t="shared" si="128"/>
        <v>0.96880368017470586</v>
      </c>
      <c r="BR53" s="322">
        <f t="shared" si="128"/>
        <v>1.089909735837163</v>
      </c>
      <c r="BS53" s="322">
        <f t="shared" si="128"/>
        <v>0.8735868411308747</v>
      </c>
      <c r="BT53" s="322">
        <f t="shared" si="128"/>
        <v>0.82929566804495636</v>
      </c>
      <c r="BV53" s="278">
        <f t="shared" si="129"/>
        <v>-29.82652876147376</v>
      </c>
      <c r="BW53" s="55">
        <f t="shared" si="130"/>
        <v>24.985944019621993</v>
      </c>
      <c r="BX53" s="55">
        <f t="shared" si="131"/>
        <v>-4.8405847418517638</v>
      </c>
      <c r="BZ53" t="str">
        <f t="shared" si="146"/>
        <v>33 Protective service occupations</v>
      </c>
      <c r="CA53" s="322">
        <f t="shared" si="132"/>
        <v>0.82905386996330011</v>
      </c>
      <c r="CB53" s="322">
        <f t="shared" si="132"/>
        <v>0.85918793974927332</v>
      </c>
      <c r="CC53" s="322">
        <f t="shared" si="132"/>
        <v>0.97281254377577486</v>
      </c>
      <c r="CD53" s="322">
        <f t="shared" si="132"/>
        <v>0.84068598529943583</v>
      </c>
      <c r="CE53" s="322">
        <f t="shared" si="132"/>
        <v>0.91505019285077938</v>
      </c>
      <c r="CG53" s="278">
        <f t="shared" si="133"/>
        <v>-49.975373066784606</v>
      </c>
      <c r="CH53" s="55">
        <f t="shared" si="134"/>
        <v>23.382746114005528</v>
      </c>
      <c r="CI53" s="55">
        <f t="shared" si="135"/>
        <v>-26.592626952779074</v>
      </c>
      <c r="CK53" t="str">
        <f t="shared" si="147"/>
        <v>33 Protective service occupations</v>
      </c>
      <c r="CL53" s="322">
        <f t="shared" si="136"/>
        <v>0.37946350215044661</v>
      </c>
      <c r="CM53" s="322">
        <f t="shared" si="136"/>
        <v>0.36492269294598206</v>
      </c>
      <c r="CN53" s="322">
        <f t="shared" si="136"/>
        <v>0.41388615007933977</v>
      </c>
      <c r="CO53" s="322">
        <f t="shared" si="136"/>
        <v>0.46563346369075664</v>
      </c>
      <c r="CP53" s="322">
        <f t="shared" si="136"/>
        <v>0.58774798048992383</v>
      </c>
      <c r="CR53" s="278">
        <f t="shared" si="137"/>
        <v>-45.726230456342812</v>
      </c>
      <c r="CS53" s="55">
        <f t="shared" si="138"/>
        <v>15.708530912645482</v>
      </c>
      <c r="CT53" s="55">
        <f t="shared" si="139"/>
        <v>-30.017699543697322</v>
      </c>
    </row>
    <row r="54" spans="1:98">
      <c r="A54" t="str">
        <f t="shared" si="103"/>
        <v>34 Culture, media and sports occupations</v>
      </c>
      <c r="B54" s="322">
        <f t="shared" si="104"/>
        <v>0.97326715612166181</v>
      </c>
      <c r="C54" s="322">
        <f t="shared" si="104"/>
        <v>1.0170819890588414</v>
      </c>
      <c r="D54" s="322">
        <f t="shared" si="104"/>
        <v>1.0722577813983543</v>
      </c>
      <c r="E54" s="322">
        <f t="shared" si="104"/>
        <v>0.96823260409030754</v>
      </c>
      <c r="F54" s="322">
        <f t="shared" si="104"/>
        <v>0.94391517126787283</v>
      </c>
      <c r="H54" s="278">
        <f t="shared" si="105"/>
        <v>67.290538418558782</v>
      </c>
      <c r="I54" s="55">
        <f t="shared" si="106"/>
        <v>65.427854330423543</v>
      </c>
      <c r="J54" s="55">
        <f t="shared" si="107"/>
        <v>132.71839274898232</v>
      </c>
      <c r="L54" t="str">
        <f t="shared" si="140"/>
        <v>34 Culture, media and sports occupations</v>
      </c>
      <c r="M54" s="322">
        <f t="shared" si="108"/>
        <v>2.8758905988310461</v>
      </c>
      <c r="N54" s="322">
        <f t="shared" si="108"/>
        <v>2.791197110419001</v>
      </c>
      <c r="O54" s="322">
        <f t="shared" si="108"/>
        <v>2.7865783025060042</v>
      </c>
      <c r="P54" s="322">
        <f t="shared" si="108"/>
        <v>2.235045567799836</v>
      </c>
      <c r="Q54" s="322">
        <f t="shared" si="108"/>
        <v>2.0352950265624314</v>
      </c>
      <c r="S54" s="278">
        <f t="shared" si="109"/>
        <v>36.088518636340247</v>
      </c>
      <c r="T54" s="55">
        <f t="shared" si="110"/>
        <v>55.699289237249097</v>
      </c>
      <c r="U54" s="55">
        <f t="shared" si="111"/>
        <v>91.78780787358933</v>
      </c>
      <c r="W54" t="str">
        <f t="shared" si="141"/>
        <v>34 Culture, media and sports occupations</v>
      </c>
      <c r="X54" s="322">
        <f t="shared" si="112"/>
        <v>3.3880836872139666</v>
      </c>
      <c r="Y54" s="322">
        <f t="shared" si="112"/>
        <v>3.2239811940438221</v>
      </c>
      <c r="Z54" s="322">
        <f t="shared" si="112"/>
        <v>3.0599592409961636</v>
      </c>
      <c r="AA54" s="322">
        <f t="shared" si="112"/>
        <v>2.455793834889155</v>
      </c>
      <c r="AB54" s="322">
        <f t="shared" si="112"/>
        <v>2.2988978552182568</v>
      </c>
      <c r="AD54" s="278">
        <f t="shared" si="113"/>
        <v>-7.3230750214938505</v>
      </c>
      <c r="AE54" s="55">
        <f t="shared" si="114"/>
        <v>43.896107610898163</v>
      </c>
      <c r="AF54" s="55">
        <f t="shared" si="115"/>
        <v>36.573032589404313</v>
      </c>
      <c r="AH54" t="str">
        <f t="shared" si="142"/>
        <v>34 Culture, media and sports occupations</v>
      </c>
      <c r="AI54" s="322">
        <f t="shared" si="116"/>
        <v>1.4950863864152242</v>
      </c>
      <c r="AJ54" s="322">
        <f t="shared" si="116"/>
        <v>1.3305819267028949</v>
      </c>
      <c r="AK54" s="322">
        <f t="shared" si="116"/>
        <v>1.4514556617595984</v>
      </c>
      <c r="AL54" s="322">
        <f t="shared" si="116"/>
        <v>1.3270673592688611</v>
      </c>
      <c r="AM54" s="322">
        <f t="shared" si="116"/>
        <v>1.5797587106574276</v>
      </c>
      <c r="AO54" s="278">
        <f t="shared" si="117"/>
        <v>14.843252835439587</v>
      </c>
      <c r="AP54" s="55">
        <f t="shared" si="118"/>
        <v>50.327084303178125</v>
      </c>
      <c r="AQ54" s="55">
        <f t="shared" si="119"/>
        <v>65.170337138617725</v>
      </c>
      <c r="AS54" t="str">
        <f t="shared" si="143"/>
        <v>34 Culture, media and sports occupations</v>
      </c>
      <c r="AT54" s="322">
        <f t="shared" si="120"/>
        <v>1.8010518671157618</v>
      </c>
      <c r="AU54" s="322">
        <f t="shared" si="120"/>
        <v>1.7225566594816271</v>
      </c>
      <c r="AV54" s="322">
        <f t="shared" si="120"/>
        <v>1.6669502745831313</v>
      </c>
      <c r="AW54" s="322">
        <f t="shared" si="120"/>
        <v>1.3137680140779691</v>
      </c>
      <c r="AX54" s="322">
        <f t="shared" si="120"/>
        <v>1.1927298606963361</v>
      </c>
      <c r="AZ54" s="278">
        <f t="shared" si="121"/>
        <v>-15.722432580467352</v>
      </c>
      <c r="BA54" s="55">
        <f t="shared" si="122"/>
        <v>40.066051922566452</v>
      </c>
      <c r="BB54" s="55">
        <f t="shared" si="123"/>
        <v>24.343619342099103</v>
      </c>
      <c r="BD54" t="str">
        <f t="shared" si="144"/>
        <v>34 Culture, media and sports occupations</v>
      </c>
      <c r="BE54" s="322">
        <f t="shared" si="124"/>
        <v>1.2381811820719271</v>
      </c>
      <c r="BF54" s="322">
        <f t="shared" si="124"/>
        <v>1.1814874736294185</v>
      </c>
      <c r="BG54" s="322">
        <f t="shared" si="124"/>
        <v>1.2840868240670791</v>
      </c>
      <c r="BH54" s="322">
        <f t="shared" si="124"/>
        <v>1.0569996599537324</v>
      </c>
      <c r="BI54" s="322">
        <f t="shared" si="124"/>
        <v>1.1557570114571101</v>
      </c>
      <c r="BK54" s="278">
        <f t="shared" si="125"/>
        <v>-4.9471519137346371</v>
      </c>
      <c r="BL54" s="55">
        <f t="shared" si="126"/>
        <v>35.518248949152017</v>
      </c>
      <c r="BM54" s="55">
        <f t="shared" si="127"/>
        <v>30.571097035417377</v>
      </c>
      <c r="BO54" t="str">
        <f t="shared" si="145"/>
        <v>34 Culture, media and sports occupations</v>
      </c>
      <c r="BP54" s="322">
        <f t="shared" si="128"/>
        <v>0.62020892880606593</v>
      </c>
      <c r="BQ54" s="322">
        <f t="shared" si="128"/>
        <v>0.56123100255146818</v>
      </c>
      <c r="BR54" s="322">
        <f t="shared" si="128"/>
        <v>0.57791210786536995</v>
      </c>
      <c r="BS54" s="322">
        <f t="shared" si="128"/>
        <v>0.42533669708711586</v>
      </c>
      <c r="BT54" s="322">
        <f t="shared" si="128"/>
        <v>0.34373771944223613</v>
      </c>
      <c r="BV54" s="278">
        <f t="shared" si="129"/>
        <v>-45.144586497877313</v>
      </c>
      <c r="BW54" s="55">
        <f t="shared" si="130"/>
        <v>27.807127994684549</v>
      </c>
      <c r="BX54" s="55">
        <f t="shared" si="131"/>
        <v>-17.337458503192767</v>
      </c>
      <c r="BZ54" t="str">
        <f t="shared" si="146"/>
        <v>34 Culture, media and sports occupations</v>
      </c>
      <c r="CA54" s="322">
        <f t="shared" si="132"/>
        <v>0.72333849595183408</v>
      </c>
      <c r="CB54" s="322">
        <f t="shared" si="132"/>
        <v>0.68466794805184705</v>
      </c>
      <c r="CC54" s="322">
        <f t="shared" si="132"/>
        <v>0.73856375733898849</v>
      </c>
      <c r="CD54" s="322">
        <f t="shared" si="132"/>
        <v>0.52950285012779019</v>
      </c>
      <c r="CE54" s="322">
        <f t="shared" si="132"/>
        <v>0.43355407686755126</v>
      </c>
      <c r="CG54" s="278">
        <f t="shared" si="133"/>
        <v>-68.780683852285335</v>
      </c>
      <c r="CH54" s="55">
        <f t="shared" si="134"/>
        <v>19.784239461806198</v>
      </c>
      <c r="CI54" s="55">
        <f t="shared" si="135"/>
        <v>-48.996444390479148</v>
      </c>
      <c r="CK54" t="str">
        <f t="shared" si="147"/>
        <v>34 Culture, media and sports occupations</v>
      </c>
      <c r="CL54" s="322">
        <f t="shared" si="136"/>
        <v>0.68438593765049049</v>
      </c>
      <c r="CM54" s="322">
        <f t="shared" si="136"/>
        <v>0.81470371627270799</v>
      </c>
      <c r="CN54" s="322">
        <f t="shared" si="136"/>
        <v>0.9065546339777093</v>
      </c>
      <c r="CO54" s="322">
        <f t="shared" si="136"/>
        <v>0.90146579694002171</v>
      </c>
      <c r="CP54" s="322">
        <f t="shared" si="136"/>
        <v>1.2011827819582883</v>
      </c>
      <c r="CR54" s="278">
        <f t="shared" si="137"/>
        <v>-49.359865493292574</v>
      </c>
      <c r="CS54" s="55">
        <f t="shared" si="138"/>
        <v>23.010777322903213</v>
      </c>
      <c r="CT54" s="55">
        <f t="shared" si="139"/>
        <v>-26.349088170389358</v>
      </c>
    </row>
    <row r="55" spans="1:98">
      <c r="A55" t="str">
        <f t="shared" si="103"/>
        <v>35 Business and public service associate professionals</v>
      </c>
      <c r="B55" s="322">
        <f t="shared" ref="B55:F64" si="148">B18/B$35*100</f>
        <v>5.0163524118882368</v>
      </c>
      <c r="C55" s="322">
        <f t="shared" si="148"/>
        <v>4.7110485162231059</v>
      </c>
      <c r="D55" s="322">
        <f t="shared" si="148"/>
        <v>4.5969818145078776</v>
      </c>
      <c r="E55" s="322">
        <f t="shared" si="148"/>
        <v>4.6617082121291293</v>
      </c>
      <c r="F55" s="322">
        <f t="shared" si="148"/>
        <v>5.1256850621558092</v>
      </c>
      <c r="H55" s="278">
        <f t="shared" si="105"/>
        <v>111.89306922629616</v>
      </c>
      <c r="I55" s="55">
        <f t="shared" si="106"/>
        <v>70.816813680663486</v>
      </c>
      <c r="J55" s="55">
        <f t="shared" si="107"/>
        <v>182.70988290695962</v>
      </c>
      <c r="L55" t="str">
        <f t="shared" si="140"/>
        <v>35 Business and public service associate professionals</v>
      </c>
      <c r="M55" s="322">
        <f t="shared" ref="M55:Q64" si="149">M18/M$35*100</f>
        <v>7.7795802542957802</v>
      </c>
      <c r="N55" s="322">
        <f t="shared" si="149"/>
        <v>7.3388113764883816</v>
      </c>
      <c r="O55" s="322">
        <f t="shared" si="149"/>
        <v>7.1808923304283203</v>
      </c>
      <c r="P55" s="322">
        <f t="shared" si="149"/>
        <v>7.0973227332574025</v>
      </c>
      <c r="Q55" s="322">
        <f t="shared" si="149"/>
        <v>7.0778855950382376</v>
      </c>
      <c r="S55" s="278">
        <f t="shared" si="109"/>
        <v>83.649812819817043</v>
      </c>
      <c r="T55" s="55">
        <f t="shared" si="110"/>
        <v>66.904120392203097</v>
      </c>
      <c r="U55" s="55">
        <f t="shared" si="111"/>
        <v>150.55393321202013</v>
      </c>
      <c r="W55" t="str">
        <f t="shared" si="141"/>
        <v>35 Business and public service associate professionals</v>
      </c>
      <c r="X55" s="322">
        <f t="shared" ref="X55:AB64" si="150">X18/X$35*100</f>
        <v>8.4521495699675988</v>
      </c>
      <c r="Y55" s="322">
        <f t="shared" si="150"/>
        <v>7.9356305466831687</v>
      </c>
      <c r="Z55" s="322">
        <f t="shared" si="150"/>
        <v>7.9222161645982965</v>
      </c>
      <c r="AA55" s="322">
        <f t="shared" si="150"/>
        <v>7.459585204896392</v>
      </c>
      <c r="AB55" s="322">
        <f t="shared" si="150"/>
        <v>6.9017485344865914</v>
      </c>
      <c r="AD55" s="278">
        <f t="shared" si="113"/>
        <v>7.4682125024363595</v>
      </c>
      <c r="AE55" s="55">
        <f t="shared" si="114"/>
        <v>52.978169633891738</v>
      </c>
      <c r="AF55" s="55">
        <f t="shared" si="115"/>
        <v>60.44638213632809</v>
      </c>
      <c r="AH55" t="str">
        <f t="shared" si="142"/>
        <v>35 Business and public service associate professionals</v>
      </c>
      <c r="AI55" s="322">
        <f t="shared" ref="AI55:AM64" si="151">AI18/AI$35*100</f>
        <v>7.0951342447907555</v>
      </c>
      <c r="AJ55" s="322">
        <f t="shared" si="151"/>
        <v>7.5354067899245178</v>
      </c>
      <c r="AK55" s="322">
        <f t="shared" si="151"/>
        <v>7.84462864405881</v>
      </c>
      <c r="AL55" s="322">
        <f t="shared" si="151"/>
        <v>8.1937657289601056</v>
      </c>
      <c r="AM55" s="322">
        <f t="shared" si="151"/>
        <v>8.3860185138799874</v>
      </c>
      <c r="AO55" s="278">
        <f t="shared" si="117"/>
        <v>12.798137199224241</v>
      </c>
      <c r="AP55" s="55">
        <f t="shared" si="118"/>
        <v>51.782210280410446</v>
      </c>
      <c r="AQ55" s="55">
        <f t="shared" si="119"/>
        <v>64.580347479634682</v>
      </c>
      <c r="AS55" t="str">
        <f t="shared" si="143"/>
        <v>35 Business and public service associate professionals</v>
      </c>
      <c r="AT55" s="322">
        <f t="shared" ref="AT55:AX64" si="152">AT18/AT$35*100</f>
        <v>7.0314616972116122</v>
      </c>
      <c r="AU55" s="322">
        <f t="shared" si="152"/>
        <v>6.880170912123706</v>
      </c>
      <c r="AV55" s="322">
        <f t="shared" si="152"/>
        <v>7.0710929589870393</v>
      </c>
      <c r="AW55" s="322">
        <f t="shared" si="152"/>
        <v>6.8657664532361276</v>
      </c>
      <c r="AX55" s="322">
        <f t="shared" si="152"/>
        <v>6.6963662935671744</v>
      </c>
      <c r="AZ55" s="278">
        <f t="shared" si="121"/>
        <v>11.543739328941793</v>
      </c>
      <c r="BA55" s="55">
        <f t="shared" si="122"/>
        <v>49.955286267929047</v>
      </c>
      <c r="BB55" s="55">
        <f t="shared" si="123"/>
        <v>61.499025596870851</v>
      </c>
      <c r="BD55" t="str">
        <f t="shared" si="144"/>
        <v>35 Business and public service associate professionals</v>
      </c>
      <c r="BE55" s="322">
        <f t="shared" ref="BE55:BI64" si="153">BE18/BE$35*100</f>
        <v>5.1126465647845762</v>
      </c>
      <c r="BF55" s="322">
        <f t="shared" si="153"/>
        <v>5.0510492308275934</v>
      </c>
      <c r="BG55" s="322">
        <f t="shared" si="153"/>
        <v>5.3978894894872003</v>
      </c>
      <c r="BH55" s="322">
        <f t="shared" si="153"/>
        <v>5.0827591254815783</v>
      </c>
      <c r="BI55" s="322">
        <f t="shared" si="153"/>
        <v>4.9517053244811908</v>
      </c>
      <c r="BK55" s="278">
        <f t="shared" si="125"/>
        <v>-3.1223065694906711</v>
      </c>
      <c r="BL55" s="55">
        <f t="shared" si="126"/>
        <v>40.722303431392035</v>
      </c>
      <c r="BM55" s="55">
        <f t="shared" si="127"/>
        <v>37.599996861901367</v>
      </c>
      <c r="BO55" t="str">
        <f t="shared" si="145"/>
        <v>35 Business and public service associate professionals</v>
      </c>
      <c r="BP55" s="322">
        <f t="shared" ref="BP55:BT64" si="154">BP18/BP$35*100</f>
        <v>4.2229053542001553</v>
      </c>
      <c r="BQ55" s="322">
        <f t="shared" si="154"/>
        <v>4.1818019564396431</v>
      </c>
      <c r="BR55" s="322">
        <f t="shared" si="154"/>
        <v>4.4800669705888376</v>
      </c>
      <c r="BS55" s="322">
        <f t="shared" si="154"/>
        <v>4.1748755492188154</v>
      </c>
      <c r="BT55" s="322">
        <f t="shared" si="154"/>
        <v>4.0870760495821505</v>
      </c>
      <c r="BV55" s="278">
        <f t="shared" si="129"/>
        <v>-15.863913372983715</v>
      </c>
      <c r="BW55" s="55">
        <f t="shared" si="130"/>
        <v>39.122389095515594</v>
      </c>
      <c r="BX55" s="55">
        <f t="shared" si="131"/>
        <v>23.258475722531877</v>
      </c>
      <c r="BZ55" t="str">
        <f t="shared" si="146"/>
        <v>35 Business and public service associate professionals</v>
      </c>
      <c r="CA55" s="322">
        <f t="shared" ref="CA55:CE64" si="155">CA18/CA$35*100</f>
        <v>3.8666231906233786</v>
      </c>
      <c r="CB55" s="322">
        <f t="shared" si="155"/>
        <v>4.0015946898140946</v>
      </c>
      <c r="CC55" s="322">
        <f t="shared" si="155"/>
        <v>4.3323136543789431</v>
      </c>
      <c r="CD55" s="322">
        <f t="shared" si="155"/>
        <v>4.0452736779003571</v>
      </c>
      <c r="CE55" s="322">
        <f t="shared" si="155"/>
        <v>3.9671664114632006</v>
      </c>
      <c r="CG55" s="278">
        <f t="shared" si="133"/>
        <v>-51.300037106591908</v>
      </c>
      <c r="CH55" s="55">
        <f t="shared" si="134"/>
        <v>26.553200472769127</v>
      </c>
      <c r="CI55" s="55">
        <f t="shared" si="135"/>
        <v>-24.746836633822781</v>
      </c>
      <c r="CK55" t="str">
        <f t="shared" si="147"/>
        <v>35 Business and public service associate professionals</v>
      </c>
      <c r="CL55" s="322">
        <f t="shared" ref="CL55:CP64" si="156">CL18/CL$35*100</f>
        <v>2.1829600344826483</v>
      </c>
      <c r="CM55" s="322">
        <f t="shared" si="156"/>
        <v>2.6044280196500997</v>
      </c>
      <c r="CN55" s="322">
        <f t="shared" si="156"/>
        <v>3.0593307073967551</v>
      </c>
      <c r="CO55" s="322">
        <f t="shared" si="156"/>
        <v>3.0551298415380326</v>
      </c>
      <c r="CP55" s="322">
        <f t="shared" si="156"/>
        <v>4.2730703676414059</v>
      </c>
      <c r="CR55" s="278">
        <f t="shared" si="137"/>
        <v>-46.618182856742905</v>
      </c>
      <c r="CS55" s="55">
        <f t="shared" si="138"/>
        <v>21.1467159509392</v>
      </c>
      <c r="CT55" s="55">
        <f t="shared" si="139"/>
        <v>-25.471466905803702</v>
      </c>
    </row>
    <row r="56" spans="1:98">
      <c r="A56" t="str">
        <f t="shared" si="103"/>
        <v>41 Administrative occupations</v>
      </c>
      <c r="B56" s="322">
        <f t="shared" si="148"/>
        <v>4.1239027376358299</v>
      </c>
      <c r="C56" s="322">
        <f t="shared" si="148"/>
        <v>3.6432824628967526</v>
      </c>
      <c r="D56" s="322">
        <f t="shared" si="148"/>
        <v>3.9385792680193084</v>
      </c>
      <c r="E56" s="322">
        <f t="shared" si="148"/>
        <v>4.1967924125141112</v>
      </c>
      <c r="F56" s="322">
        <f t="shared" si="148"/>
        <v>4.7927985718897199</v>
      </c>
      <c r="H56" s="278">
        <f t="shared" si="105"/>
        <v>131.25290963177406</v>
      </c>
      <c r="I56" s="55">
        <f t="shared" si="106"/>
        <v>81.284464199183148</v>
      </c>
      <c r="J56" s="55">
        <f t="shared" si="107"/>
        <v>212.53737383095719</v>
      </c>
      <c r="L56" t="str">
        <f t="shared" si="140"/>
        <v>41 Administrative occupations</v>
      </c>
      <c r="M56" s="322">
        <f t="shared" si="149"/>
        <v>6.0615992915877817</v>
      </c>
      <c r="N56" s="322">
        <f t="shared" si="149"/>
        <v>5.5808547083861306</v>
      </c>
      <c r="O56" s="322">
        <f t="shared" si="149"/>
        <v>6.0813429090419824</v>
      </c>
      <c r="P56" s="322">
        <f t="shared" si="149"/>
        <v>6.4938123023206717</v>
      </c>
      <c r="Q56" s="322">
        <f t="shared" si="149"/>
        <v>6.5547478025744264</v>
      </c>
      <c r="S56" s="278">
        <f t="shared" si="109"/>
        <v>100.82688889362512</v>
      </c>
      <c r="T56" s="55">
        <f t="shared" si="110"/>
        <v>77.702821264374336</v>
      </c>
      <c r="U56" s="55">
        <f t="shared" si="111"/>
        <v>178.52971015799946</v>
      </c>
      <c r="W56" t="str">
        <f t="shared" si="141"/>
        <v>41 Administrative occupations</v>
      </c>
      <c r="X56" s="322">
        <f t="shared" si="150"/>
        <v>10.136070809928645</v>
      </c>
      <c r="Y56" s="322">
        <f t="shared" si="150"/>
        <v>9.3106400500419824</v>
      </c>
      <c r="Z56" s="322">
        <f t="shared" si="150"/>
        <v>10.100073606159263</v>
      </c>
      <c r="AA56" s="322">
        <f t="shared" si="150"/>
        <v>10.815034582478731</v>
      </c>
      <c r="AB56" s="322">
        <f t="shared" si="150"/>
        <v>11.274622254000962</v>
      </c>
      <c r="AD56" s="278">
        <f t="shared" si="113"/>
        <v>37.703520469830579</v>
      </c>
      <c r="AE56" s="55">
        <f t="shared" si="114"/>
        <v>68.734621798021607</v>
      </c>
      <c r="AF56" s="55">
        <f t="shared" si="115"/>
        <v>106.4381422678522</v>
      </c>
      <c r="AH56" t="str">
        <f t="shared" si="142"/>
        <v>41 Administrative occupations</v>
      </c>
      <c r="AI56" s="322">
        <f t="shared" si="151"/>
        <v>10.874579682291651</v>
      </c>
      <c r="AJ56" s="322">
        <f t="shared" si="151"/>
        <v>11.22254286207288</v>
      </c>
      <c r="AK56" s="322">
        <f t="shared" si="151"/>
        <v>12.316874961447578</v>
      </c>
      <c r="AL56" s="322">
        <f t="shared" si="151"/>
        <v>14.035036437987555</v>
      </c>
      <c r="AM56" s="322">
        <f t="shared" si="151"/>
        <v>15.644053739324553</v>
      </c>
      <c r="AO56" s="278">
        <f t="shared" si="117"/>
        <v>34.019275755356247</v>
      </c>
      <c r="AP56" s="55">
        <f t="shared" si="118"/>
        <v>71.091607523504877</v>
      </c>
      <c r="AQ56" s="55">
        <f t="shared" si="119"/>
        <v>105.11088327886114</v>
      </c>
      <c r="AS56" t="str">
        <f t="shared" si="143"/>
        <v>41 Administrative occupations</v>
      </c>
      <c r="AT56" s="322">
        <f t="shared" si="152"/>
        <v>11.246509626625041</v>
      </c>
      <c r="AU56" s="322">
        <f t="shared" si="152"/>
        <v>10.475251247706986</v>
      </c>
      <c r="AV56" s="322">
        <f t="shared" si="152"/>
        <v>11.826025403903529</v>
      </c>
      <c r="AW56" s="322">
        <f t="shared" si="152"/>
        <v>12.041128042351398</v>
      </c>
      <c r="AX56" s="322">
        <f t="shared" si="152"/>
        <v>12.243081940487839</v>
      </c>
      <c r="AZ56" s="278">
        <f t="shared" si="121"/>
        <v>21.939523321480216</v>
      </c>
      <c r="BA56" s="55">
        <f t="shared" si="122"/>
        <v>61.575620902593833</v>
      </c>
      <c r="BB56" s="55">
        <f t="shared" si="123"/>
        <v>83.515144224074049</v>
      </c>
      <c r="BD56" t="str">
        <f t="shared" si="144"/>
        <v>41 Administrative occupations</v>
      </c>
      <c r="BE56" s="322">
        <f t="shared" si="153"/>
        <v>9.8441945767015504</v>
      </c>
      <c r="BF56" s="322">
        <f t="shared" si="153"/>
        <v>8.8198709258673631</v>
      </c>
      <c r="BG56" s="322">
        <f t="shared" si="153"/>
        <v>9.467845613125208</v>
      </c>
      <c r="BH56" s="322">
        <f t="shared" si="153"/>
        <v>9.2749366547142031</v>
      </c>
      <c r="BI56" s="322">
        <f t="shared" si="153"/>
        <v>8.4061818953916738</v>
      </c>
      <c r="BK56" s="278">
        <f t="shared" si="125"/>
        <v>-6.2350334929379132</v>
      </c>
      <c r="BL56" s="55">
        <f t="shared" si="126"/>
        <v>45.912174290039729</v>
      </c>
      <c r="BM56" s="55">
        <f t="shared" si="127"/>
        <v>39.677140797101821</v>
      </c>
      <c r="BO56" t="str">
        <f t="shared" si="145"/>
        <v>41 Administrative occupations</v>
      </c>
      <c r="BP56" s="322">
        <f t="shared" si="154"/>
        <v>11.844064008222926</v>
      </c>
      <c r="BQ56" s="322">
        <f t="shared" si="154"/>
        <v>10.752474720235707</v>
      </c>
      <c r="BR56" s="322">
        <f t="shared" si="154"/>
        <v>11.48328996281027</v>
      </c>
      <c r="BS56" s="322">
        <f t="shared" si="154"/>
        <v>11.199240757067747</v>
      </c>
      <c r="BT56" s="322">
        <f t="shared" si="154"/>
        <v>9.7488088496548837</v>
      </c>
      <c r="BV56" s="278">
        <f t="shared" si="129"/>
        <v>-21.704046191506766</v>
      </c>
      <c r="BW56" s="55">
        <f t="shared" si="130"/>
        <v>43.173185916606016</v>
      </c>
      <c r="BX56" s="55">
        <f t="shared" si="131"/>
        <v>21.46913972509925</v>
      </c>
      <c r="BZ56" t="str">
        <f t="shared" si="146"/>
        <v>41 Administrative occupations</v>
      </c>
      <c r="CA56" s="322">
        <f t="shared" si="155"/>
        <v>9.0551362236010515</v>
      </c>
      <c r="CB56" s="322">
        <f t="shared" si="155"/>
        <v>8.2096525443221164</v>
      </c>
      <c r="CC56" s="322">
        <f t="shared" si="155"/>
        <v>8.1649035580275733</v>
      </c>
      <c r="CD56" s="322">
        <f t="shared" si="155"/>
        <v>7.032974521520055</v>
      </c>
      <c r="CE56" s="322">
        <f t="shared" si="155"/>
        <v>4.0854447917127183</v>
      </c>
      <c r="CG56" s="278">
        <f t="shared" si="133"/>
        <v>-73.389294401516793</v>
      </c>
      <c r="CH56" s="55">
        <f t="shared" si="134"/>
        <v>23.105743560778119</v>
      </c>
      <c r="CI56" s="55">
        <f t="shared" si="135"/>
        <v>-50.28355084073867</v>
      </c>
      <c r="CK56" t="str">
        <f t="shared" si="147"/>
        <v>41 Administrative occupations</v>
      </c>
      <c r="CL56" s="322">
        <f t="shared" si="156"/>
        <v>6.0013120507924196</v>
      </c>
      <c r="CM56" s="322">
        <f t="shared" si="156"/>
        <v>5.4003962057476329</v>
      </c>
      <c r="CN56" s="322">
        <f t="shared" si="156"/>
        <v>6.3681351402741599</v>
      </c>
      <c r="CO56" s="322">
        <f t="shared" si="156"/>
        <v>6.996788101352065</v>
      </c>
      <c r="CP56" s="322">
        <f t="shared" si="156"/>
        <v>8.1710858661677452</v>
      </c>
      <c r="CR56" s="278">
        <f t="shared" si="137"/>
        <v>-50.960364032801905</v>
      </c>
      <c r="CS56" s="55">
        <f t="shared" si="138"/>
        <v>21.769252605413982</v>
      </c>
      <c r="CT56" s="55">
        <f t="shared" si="139"/>
        <v>-29.191111427387927</v>
      </c>
    </row>
    <row r="57" spans="1:98">
      <c r="A57" t="str">
        <f t="shared" si="103"/>
        <v>42 Secretarial and related occupations</v>
      </c>
      <c r="B57" s="322">
        <f t="shared" si="148"/>
        <v>0.30168535599603957</v>
      </c>
      <c r="C57" s="322">
        <f t="shared" si="148"/>
        <v>0.2400324196908406</v>
      </c>
      <c r="D57" s="322">
        <f t="shared" si="148"/>
        <v>0.29117115335668692</v>
      </c>
      <c r="E57" s="322">
        <f t="shared" si="148"/>
        <v>0.32943024742851446</v>
      </c>
      <c r="F57" s="322">
        <f t="shared" si="148"/>
        <v>0.34953616996763193</v>
      </c>
      <c r="H57" s="278">
        <f t="shared" si="105"/>
        <v>128.12947210256218</v>
      </c>
      <c r="I57" s="55">
        <f t="shared" si="106"/>
        <v>97.573562711705236</v>
      </c>
      <c r="J57" s="55">
        <f t="shared" si="107"/>
        <v>225.70303481426745</v>
      </c>
      <c r="L57" t="str">
        <f t="shared" si="140"/>
        <v>42 Secretarial and related occupations</v>
      </c>
      <c r="M57" s="322">
        <f t="shared" si="149"/>
        <v>0.96780578940416895</v>
      </c>
      <c r="N57" s="322">
        <f t="shared" si="149"/>
        <v>0.8557495438161391</v>
      </c>
      <c r="O57" s="322">
        <f t="shared" si="149"/>
        <v>0.98646005432893524</v>
      </c>
      <c r="P57" s="322">
        <f t="shared" si="149"/>
        <v>0.98824088129817012</v>
      </c>
      <c r="Q57" s="322">
        <f t="shared" si="149"/>
        <v>0.55114398418754651</v>
      </c>
      <c r="S57" s="278">
        <f t="shared" si="109"/>
        <v>4.1000490764802757</v>
      </c>
      <c r="T57" s="55">
        <f t="shared" si="110"/>
        <v>63.601391096133597</v>
      </c>
      <c r="U57" s="55">
        <f t="shared" si="111"/>
        <v>67.701440172613886</v>
      </c>
      <c r="W57" t="str">
        <f t="shared" si="141"/>
        <v>42 Secretarial and related occupations</v>
      </c>
      <c r="X57" s="322">
        <f t="shared" si="150"/>
        <v>1.5755478347354381</v>
      </c>
      <c r="Y57" s="322">
        <f t="shared" si="150"/>
        <v>1.3919666870245972</v>
      </c>
      <c r="Z57" s="322">
        <f t="shared" si="150"/>
        <v>1.5080510193854431</v>
      </c>
      <c r="AA57" s="322">
        <f t="shared" si="150"/>
        <v>1.6834097178632463</v>
      </c>
      <c r="AB57" s="322">
        <f t="shared" si="150"/>
        <v>1.803172966766045</v>
      </c>
      <c r="AD57" s="278">
        <f t="shared" si="113"/>
        <v>47.498952229069488</v>
      </c>
      <c r="AE57" s="55">
        <f t="shared" si="114"/>
        <v>80.727476185741949</v>
      </c>
      <c r="AF57" s="55">
        <f t="shared" si="115"/>
        <v>128.22642841481141</v>
      </c>
      <c r="AH57" t="str">
        <f t="shared" si="142"/>
        <v>42 Secretarial and related occupations</v>
      </c>
      <c r="AI57" s="322">
        <f t="shared" si="151"/>
        <v>2.3486083810760676</v>
      </c>
      <c r="AJ57" s="322">
        <f t="shared" si="151"/>
        <v>2.2534242323002518</v>
      </c>
      <c r="AK57" s="322">
        <f t="shared" si="151"/>
        <v>2.5395922009937317</v>
      </c>
      <c r="AL57" s="322">
        <f t="shared" si="151"/>
        <v>2.7142618947093</v>
      </c>
      <c r="AM57" s="322">
        <f t="shared" si="151"/>
        <v>2.4380755753019385</v>
      </c>
      <c r="AO57" s="278">
        <f t="shared" si="117"/>
        <v>1.2981885258622217</v>
      </c>
      <c r="AP57" s="55">
        <f t="shared" si="118"/>
        <v>63.316026638761137</v>
      </c>
      <c r="AQ57" s="55">
        <f t="shared" si="119"/>
        <v>64.61421516462336</v>
      </c>
      <c r="AS57" t="str">
        <f t="shared" si="143"/>
        <v>42 Secretarial and related occupations</v>
      </c>
      <c r="AT57" s="322">
        <f t="shared" si="152"/>
        <v>2.0540007667768023</v>
      </c>
      <c r="AU57" s="322">
        <f t="shared" si="152"/>
        <v>1.7953576547601953</v>
      </c>
      <c r="AV57" s="322">
        <f t="shared" si="152"/>
        <v>2.0603814278344337</v>
      </c>
      <c r="AW57" s="322">
        <f t="shared" si="152"/>
        <v>2.070048981153997</v>
      </c>
      <c r="AX57" s="322">
        <f t="shared" si="152"/>
        <v>1.868616448328789</v>
      </c>
      <c r="AZ57" s="278">
        <f t="shared" si="121"/>
        <v>6.8230774303812636</v>
      </c>
      <c r="BA57" s="55">
        <f t="shared" si="122"/>
        <v>59.92554216023359</v>
      </c>
      <c r="BB57" s="55">
        <f t="shared" si="123"/>
        <v>66.748619590614851</v>
      </c>
      <c r="BD57" t="str">
        <f t="shared" si="144"/>
        <v>42 Secretarial and related occupations</v>
      </c>
      <c r="BE57" s="322">
        <f t="shared" si="153"/>
        <v>2.0073405800113022</v>
      </c>
      <c r="BF57" s="322">
        <f t="shared" si="153"/>
        <v>1.717534787383262</v>
      </c>
      <c r="BG57" s="322">
        <f t="shared" si="153"/>
        <v>1.7028803664442989</v>
      </c>
      <c r="BH57" s="322">
        <f t="shared" si="153"/>
        <v>1.5823060604866865</v>
      </c>
      <c r="BI57" s="322">
        <f t="shared" si="153"/>
        <v>0.47801393449253854</v>
      </c>
      <c r="BK57" s="278">
        <f t="shared" si="125"/>
        <v>-70.35513985975534</v>
      </c>
      <c r="BL57" s="55">
        <f t="shared" si="126"/>
        <v>35.99443391425951</v>
      </c>
      <c r="BM57" s="55">
        <f t="shared" si="127"/>
        <v>-34.360705945495837</v>
      </c>
      <c r="BO57" t="str">
        <f t="shared" si="145"/>
        <v>42 Secretarial and related occupations</v>
      </c>
      <c r="BP57" s="322">
        <f t="shared" si="154"/>
        <v>2.6400662400639825</v>
      </c>
      <c r="BQ57" s="322">
        <f t="shared" si="154"/>
        <v>2.1100277822740199</v>
      </c>
      <c r="BR57" s="322">
        <f t="shared" si="154"/>
        <v>2.0502731692320824</v>
      </c>
      <c r="BS57" s="322">
        <f t="shared" si="154"/>
        <v>1.4508021660354853</v>
      </c>
      <c r="BT57" s="322">
        <f t="shared" si="154"/>
        <v>0.40435132680050223</v>
      </c>
      <c r="BV57" s="278">
        <f t="shared" si="129"/>
        <v>-81.811317606256821</v>
      </c>
      <c r="BW57" s="55">
        <f t="shared" si="130"/>
        <v>26.99542549191883</v>
      </c>
      <c r="BX57" s="55">
        <f t="shared" si="131"/>
        <v>-54.815892114337984</v>
      </c>
      <c r="BZ57" t="str">
        <f t="shared" si="146"/>
        <v>42 Secretarial and related occupations</v>
      </c>
      <c r="CA57" s="322">
        <f t="shared" si="155"/>
        <v>3.2285041615958123</v>
      </c>
      <c r="CB57" s="322">
        <f t="shared" si="155"/>
        <v>3.0914802957703338</v>
      </c>
      <c r="CC57" s="322">
        <f t="shared" si="155"/>
        <v>2.8022728459975057</v>
      </c>
      <c r="CD57" s="322">
        <f t="shared" si="155"/>
        <v>2.3538235822739209</v>
      </c>
      <c r="CE57" s="322">
        <f t="shared" si="155"/>
        <v>0.72292732769015611</v>
      </c>
      <c r="CG57" s="278">
        <f t="shared" si="133"/>
        <v>-86.280056370139917</v>
      </c>
      <c r="CH57" s="55">
        <f t="shared" si="134"/>
        <v>23.280198414630789</v>
      </c>
      <c r="CI57" s="55">
        <f t="shared" si="135"/>
        <v>-62.999857955509128</v>
      </c>
      <c r="CK57" t="str">
        <f t="shared" si="147"/>
        <v>42 Secretarial and related occupations</v>
      </c>
      <c r="CL57" s="322">
        <f t="shared" si="156"/>
        <v>1.8628240817872903</v>
      </c>
      <c r="CM57" s="322">
        <f t="shared" si="156"/>
        <v>1.7616553133837987</v>
      </c>
      <c r="CN57" s="322">
        <f t="shared" si="156"/>
        <v>2.0743385801345662</v>
      </c>
      <c r="CO57" s="322">
        <f t="shared" si="156"/>
        <v>2.5912894920529235</v>
      </c>
      <c r="CP57" s="322">
        <f t="shared" si="156"/>
        <v>3.3457872150472245</v>
      </c>
      <c r="CR57" s="278">
        <f t="shared" si="137"/>
        <v>-38.354921920253041</v>
      </c>
      <c r="CS57" s="55">
        <f t="shared" si="138"/>
        <v>31.258386301198609</v>
      </c>
      <c r="CT57" s="55">
        <f t="shared" si="139"/>
        <v>-7.0965356190544338</v>
      </c>
    </row>
    <row r="58" spans="1:98">
      <c r="A58" t="str">
        <f t="shared" si="103"/>
        <v>51 Skilled agricultural and related trades</v>
      </c>
      <c r="B58" s="322">
        <f t="shared" si="148"/>
        <v>0.12129225058431156</v>
      </c>
      <c r="C58" s="322">
        <f t="shared" si="148"/>
        <v>0.11737895324694331</v>
      </c>
      <c r="D58" s="322">
        <f t="shared" si="148"/>
        <v>9.1480547675613949E-2</v>
      </c>
      <c r="E58" s="322">
        <f t="shared" si="148"/>
        <v>8.8305788044108699E-2</v>
      </c>
      <c r="F58" s="322">
        <f t="shared" si="148"/>
        <v>0.11664783511235982</v>
      </c>
      <c r="H58" s="278">
        <f t="shared" si="105"/>
        <v>142.31792765648521</v>
      </c>
      <c r="I58" s="55">
        <f t="shared" si="106"/>
        <v>97.742852765624505</v>
      </c>
      <c r="J58" s="55">
        <f t="shared" si="107"/>
        <v>240.06078042210973</v>
      </c>
      <c r="L58" t="str">
        <f t="shared" si="140"/>
        <v>51 Skilled agricultural and related trades</v>
      </c>
      <c r="M58" s="322">
        <f t="shared" si="149"/>
        <v>0.17470224146060548</v>
      </c>
      <c r="N58" s="322">
        <f t="shared" si="149"/>
        <v>0.12600701460444222</v>
      </c>
      <c r="O58" s="322">
        <f t="shared" si="149"/>
        <v>0.10725154548386739</v>
      </c>
      <c r="P58" s="322">
        <f t="shared" si="149"/>
        <v>0.10000946460408308</v>
      </c>
      <c r="Q58" s="322">
        <f t="shared" si="149"/>
        <v>9.2337674321836816E-2</v>
      </c>
      <c r="S58" s="278">
        <f t="shared" si="109"/>
        <v>60.413435271786796</v>
      </c>
      <c r="T58" s="55">
        <f t="shared" si="110"/>
        <v>68.283276309569899</v>
      </c>
      <c r="U58" s="55">
        <f t="shared" si="111"/>
        <v>128.69671158135668</v>
      </c>
      <c r="W58" t="str">
        <f t="shared" si="141"/>
        <v>51 Skilled agricultural and related trades</v>
      </c>
      <c r="X58" s="322">
        <f t="shared" si="150"/>
        <v>0.59929016681451897</v>
      </c>
      <c r="Y58" s="322">
        <f t="shared" si="150"/>
        <v>0.45432214008925303</v>
      </c>
      <c r="Z58" s="322">
        <f t="shared" si="150"/>
        <v>0.37940966353173172</v>
      </c>
      <c r="AA58" s="322">
        <f t="shared" si="150"/>
        <v>0.39153812214580452</v>
      </c>
      <c r="AB58" s="322">
        <f t="shared" si="150"/>
        <v>0.45672745709998147</v>
      </c>
      <c r="AD58" s="278">
        <f t="shared" si="113"/>
        <v>48.496533217310386</v>
      </c>
      <c r="AE58" s="55">
        <f t="shared" si="114"/>
        <v>82.341322767913624</v>
      </c>
      <c r="AF58" s="55">
        <f t="shared" si="115"/>
        <v>130.83785598522402</v>
      </c>
      <c r="AH58" t="str">
        <f t="shared" si="142"/>
        <v>51 Skilled agricultural and related trades</v>
      </c>
      <c r="AI58" s="322">
        <f t="shared" si="151"/>
        <v>0.66392780448336552</v>
      </c>
      <c r="AJ58" s="322">
        <f t="shared" si="151"/>
        <v>0.63287140157380128</v>
      </c>
      <c r="AK58" s="322">
        <f t="shared" si="151"/>
        <v>0.49231508556208559</v>
      </c>
      <c r="AL58" s="322">
        <f t="shared" si="151"/>
        <v>0.58780836738921127</v>
      </c>
      <c r="AM58" s="322">
        <f t="shared" si="151"/>
        <v>0.72915092312782259</v>
      </c>
      <c r="AO58" s="278">
        <f t="shared" si="117"/>
        <v>56.276179842279348</v>
      </c>
      <c r="AP58" s="55">
        <f t="shared" si="118"/>
        <v>89.344057459392189</v>
      </c>
      <c r="AQ58" s="55">
        <f t="shared" si="119"/>
        <v>145.62023730167152</v>
      </c>
      <c r="AS58" t="str">
        <f t="shared" si="143"/>
        <v>51 Skilled agricultural and related trades</v>
      </c>
      <c r="AT58" s="322">
        <f t="shared" si="152"/>
        <v>1.33136124010791</v>
      </c>
      <c r="AU58" s="322">
        <f t="shared" si="152"/>
        <v>1.2443075615003611</v>
      </c>
      <c r="AV58" s="322">
        <f t="shared" si="152"/>
        <v>1.0166484233848301</v>
      </c>
      <c r="AW58" s="322">
        <f t="shared" si="152"/>
        <v>1.1092532164431861</v>
      </c>
      <c r="AX58" s="322">
        <f t="shared" si="152"/>
        <v>1.4636201744388189</v>
      </c>
      <c r="AZ58" s="278">
        <f t="shared" si="121"/>
        <v>69.570437264349934</v>
      </c>
      <c r="BA58" s="55">
        <f t="shared" si="122"/>
        <v>80.678589853808262</v>
      </c>
      <c r="BB58" s="55">
        <f t="shared" si="123"/>
        <v>150.24902711815821</v>
      </c>
      <c r="BD58" t="str">
        <f t="shared" si="144"/>
        <v>51 Skilled agricultural and related trades</v>
      </c>
      <c r="BE58" s="322">
        <f t="shared" si="153"/>
        <v>0.56401801388564943</v>
      </c>
      <c r="BF58" s="322">
        <f t="shared" si="153"/>
        <v>0.50569086409164243</v>
      </c>
      <c r="BG58" s="322">
        <f t="shared" si="153"/>
        <v>0.41063176631208886</v>
      </c>
      <c r="BH58" s="322">
        <f t="shared" si="153"/>
        <v>0.40016606088386303</v>
      </c>
      <c r="BI58" s="322">
        <f t="shared" si="153"/>
        <v>0.43974262380667339</v>
      </c>
      <c r="BK58" s="278">
        <f t="shared" si="125"/>
        <v>13.093854839123614</v>
      </c>
      <c r="BL58" s="55">
        <f t="shared" si="126"/>
        <v>54.875559608995182</v>
      </c>
      <c r="BM58" s="55">
        <f t="shared" si="127"/>
        <v>67.969414448118798</v>
      </c>
      <c r="BO58" t="str">
        <f t="shared" si="145"/>
        <v>51 Skilled agricultural and related trades</v>
      </c>
      <c r="BP58" s="322">
        <f t="shared" si="154"/>
        <v>0.97045165575891534</v>
      </c>
      <c r="BQ58" s="322">
        <f t="shared" si="154"/>
        <v>0.89084672015021549</v>
      </c>
      <c r="BR58" s="322">
        <f t="shared" si="154"/>
        <v>0.7720510893105289</v>
      </c>
      <c r="BS58" s="322">
        <f t="shared" si="154"/>
        <v>0.73593992531385488</v>
      </c>
      <c r="BT58" s="322">
        <f t="shared" si="154"/>
        <v>0.79176510778038267</v>
      </c>
      <c r="BV58" s="278">
        <f t="shared" si="129"/>
        <v>-5.4188883313642666</v>
      </c>
      <c r="BW58" s="55">
        <f t="shared" si="130"/>
        <v>55.538313380666096</v>
      </c>
      <c r="BX58" s="55">
        <f t="shared" si="131"/>
        <v>50.119425049301839</v>
      </c>
      <c r="BZ58" t="str">
        <f t="shared" si="146"/>
        <v>51 Skilled agricultural and related trades</v>
      </c>
      <c r="CA58" s="322">
        <f t="shared" si="155"/>
        <v>1.1237098331798037</v>
      </c>
      <c r="CB58" s="322">
        <f t="shared" si="155"/>
        <v>1.0937454374289513</v>
      </c>
      <c r="CC58" s="322">
        <f t="shared" si="155"/>
        <v>1.1914109352629365</v>
      </c>
      <c r="CD58" s="322">
        <f t="shared" si="155"/>
        <v>1.3167426966321674</v>
      </c>
      <c r="CE58" s="322">
        <f t="shared" si="155"/>
        <v>2.5165426799806392</v>
      </c>
      <c r="CG58" s="278">
        <f t="shared" si="133"/>
        <v>12.333896115531529</v>
      </c>
      <c r="CH58" s="55">
        <f t="shared" si="134"/>
        <v>47.051683151019525</v>
      </c>
      <c r="CI58" s="55">
        <f t="shared" si="135"/>
        <v>59.385579266551048</v>
      </c>
      <c r="CK58" t="str">
        <f t="shared" si="147"/>
        <v>51 Skilled agricultural and related trades</v>
      </c>
      <c r="CL58" s="322">
        <f t="shared" si="156"/>
        <v>1.7986709790780733</v>
      </c>
      <c r="CM58" s="322">
        <f t="shared" si="156"/>
        <v>1.8513630330368802</v>
      </c>
      <c r="CN58" s="322">
        <f t="shared" si="156"/>
        <v>1.4773050411617714</v>
      </c>
      <c r="CO58" s="322">
        <f t="shared" si="156"/>
        <v>1.8555869267014462</v>
      </c>
      <c r="CP58" s="322">
        <f t="shared" si="156"/>
        <v>1.917990006370035</v>
      </c>
      <c r="CR58" s="278">
        <f t="shared" si="137"/>
        <v>-50.380098867628618</v>
      </c>
      <c r="CS58" s="55">
        <f t="shared" si="138"/>
        <v>27.450685570143239</v>
      </c>
      <c r="CT58" s="55">
        <f t="shared" si="139"/>
        <v>-22.929413297485375</v>
      </c>
    </row>
    <row r="59" spans="1:98">
      <c r="A59" t="str">
        <f t="shared" si="103"/>
        <v>52 Skilled metal, electrical and electronic trades</v>
      </c>
      <c r="B59" s="322">
        <f t="shared" si="148"/>
        <v>0.33094663821796938</v>
      </c>
      <c r="C59" s="322">
        <f t="shared" si="148"/>
        <v>0.21031082317657671</v>
      </c>
      <c r="D59" s="322">
        <f t="shared" si="148"/>
        <v>0.16166132308498327</v>
      </c>
      <c r="E59" s="322">
        <f t="shared" si="148"/>
        <v>0.15573722031569948</v>
      </c>
      <c r="F59" s="322">
        <f t="shared" si="148"/>
        <v>0.15367098122734368</v>
      </c>
      <c r="H59" s="278">
        <f t="shared" si="105"/>
        <v>80.643922349133064</v>
      </c>
      <c r="I59" s="55">
        <f t="shared" si="106"/>
        <v>57.142536597300577</v>
      </c>
      <c r="J59" s="55">
        <f t="shared" si="107"/>
        <v>137.78645894643361</v>
      </c>
      <c r="L59" t="str">
        <f t="shared" si="140"/>
        <v>52 Skilled metal, electrical and electronic trades</v>
      </c>
      <c r="M59" s="322">
        <f t="shared" si="149"/>
        <v>1.1786755109906257</v>
      </c>
      <c r="N59" s="322">
        <f t="shared" si="149"/>
        <v>1.073791729480555</v>
      </c>
      <c r="O59" s="322">
        <f t="shared" si="149"/>
        <v>0.72869527753182817</v>
      </c>
      <c r="P59" s="322">
        <f t="shared" si="149"/>
        <v>0.90332621852502326</v>
      </c>
      <c r="Q59" s="322">
        <f t="shared" si="149"/>
        <v>0.99400194838138134</v>
      </c>
      <c r="S59" s="278">
        <f t="shared" si="109"/>
        <v>154.15967541419587</v>
      </c>
      <c r="T59" s="55">
        <f t="shared" si="110"/>
        <v>82.292196189010198</v>
      </c>
      <c r="U59" s="55">
        <f t="shared" si="111"/>
        <v>236.45187160320606</v>
      </c>
      <c r="W59" t="str">
        <f t="shared" si="141"/>
        <v>52 Skilled metal, electrical and electronic trades</v>
      </c>
      <c r="X59" s="322">
        <f t="shared" si="150"/>
        <v>1.5707903864911399</v>
      </c>
      <c r="Y59" s="322">
        <f t="shared" si="150"/>
        <v>1.4901762360552617</v>
      </c>
      <c r="Z59" s="322">
        <f t="shared" si="150"/>
        <v>1.0511813778922494</v>
      </c>
      <c r="AA59" s="322">
        <f t="shared" si="150"/>
        <v>1.1600909735669696</v>
      </c>
      <c r="AB59" s="322">
        <f t="shared" si="150"/>
        <v>1.2180466979735662</v>
      </c>
      <c r="AD59" s="278">
        <f t="shared" si="113"/>
        <v>42.940027799628581</v>
      </c>
      <c r="AE59" s="55">
        <f t="shared" si="114"/>
        <v>60.041968067362305</v>
      </c>
      <c r="AF59" s="55">
        <f t="shared" si="115"/>
        <v>102.98199586699089</v>
      </c>
      <c r="AH59" t="str">
        <f t="shared" si="142"/>
        <v>52 Skilled metal, electrical and electronic trades</v>
      </c>
      <c r="AI59" s="322">
        <f t="shared" si="151"/>
        <v>1.8627496858318195</v>
      </c>
      <c r="AJ59" s="322">
        <f t="shared" si="151"/>
        <v>1.7926878987772752</v>
      </c>
      <c r="AK59" s="322">
        <f t="shared" si="151"/>
        <v>1.3393428725951553</v>
      </c>
      <c r="AL59" s="322">
        <f t="shared" si="151"/>
        <v>1.5070880114105356</v>
      </c>
      <c r="AM59" s="322">
        <f t="shared" si="151"/>
        <v>1.6749953061200535</v>
      </c>
      <c r="AO59" s="278">
        <f t="shared" si="117"/>
        <v>31.959397366890059</v>
      </c>
      <c r="AP59" s="55">
        <f t="shared" si="118"/>
        <v>49.663448581879507</v>
      </c>
      <c r="AQ59" s="55">
        <f t="shared" si="119"/>
        <v>81.622845948769566</v>
      </c>
      <c r="AS59" t="str">
        <f t="shared" si="143"/>
        <v>52 Skilled metal, electrical and electronic trades</v>
      </c>
      <c r="AT59" s="322">
        <f t="shared" si="152"/>
        <v>8.8129012367289263</v>
      </c>
      <c r="AU59" s="322">
        <f t="shared" si="152"/>
        <v>8.3840560220266767</v>
      </c>
      <c r="AV59" s="322">
        <f t="shared" si="152"/>
        <v>6.6375430566129738</v>
      </c>
      <c r="AW59" s="322">
        <f t="shared" si="152"/>
        <v>6.6115426569649038</v>
      </c>
      <c r="AX59" s="322">
        <f t="shared" si="152"/>
        <v>6.4023151822567712</v>
      </c>
      <c r="AZ59" s="278">
        <f t="shared" si="121"/>
        <v>13.61148684075234</v>
      </c>
      <c r="BA59" s="55">
        <f t="shared" si="122"/>
        <v>45.656614199704109</v>
      </c>
      <c r="BB59" s="55">
        <f t="shared" si="123"/>
        <v>59.268101040456443</v>
      </c>
      <c r="BD59" t="str">
        <f t="shared" si="144"/>
        <v>52 Skilled metal, electrical and electronic trades</v>
      </c>
      <c r="BE59" s="322">
        <f t="shared" si="153"/>
        <v>10.978998441918399</v>
      </c>
      <c r="BF59" s="322">
        <f t="shared" si="153"/>
        <v>10.804602601118612</v>
      </c>
      <c r="BG59" s="322">
        <f t="shared" si="153"/>
        <v>9.4109132325470064</v>
      </c>
      <c r="BH59" s="322">
        <f t="shared" si="153"/>
        <v>9.0141082304550011</v>
      </c>
      <c r="BI59" s="322">
        <f t="shared" si="153"/>
        <v>8.586200308962006</v>
      </c>
      <c r="BK59" s="278">
        <f t="shared" si="125"/>
        <v>-3.6476672001956896</v>
      </c>
      <c r="BL59" s="55">
        <f t="shared" si="126"/>
        <v>34.583709758734734</v>
      </c>
      <c r="BM59" s="55">
        <f t="shared" si="127"/>
        <v>30.93604255853905</v>
      </c>
      <c r="BO59" t="str">
        <f t="shared" si="145"/>
        <v>52 Skilled metal, electrical and electronic trades</v>
      </c>
      <c r="BP59" s="322">
        <f t="shared" si="154"/>
        <v>6.2696488514594018</v>
      </c>
      <c r="BQ59" s="322">
        <f t="shared" si="154"/>
        <v>6.214732758640154</v>
      </c>
      <c r="BR59" s="322">
        <f t="shared" si="154"/>
        <v>5.7320342715955599</v>
      </c>
      <c r="BS59" s="322">
        <f t="shared" si="154"/>
        <v>5.4831881416818389</v>
      </c>
      <c r="BT59" s="322">
        <f t="shared" si="154"/>
        <v>5.3746221102352623</v>
      </c>
      <c r="BV59" s="278">
        <f t="shared" si="129"/>
        <v>-13.52446622725939</v>
      </c>
      <c r="BW59" s="55">
        <f t="shared" si="130"/>
        <v>36.438758752726216</v>
      </c>
      <c r="BX59" s="55">
        <f t="shared" si="131"/>
        <v>22.914292525466827</v>
      </c>
      <c r="BZ59" t="str">
        <f t="shared" si="146"/>
        <v>52 Skilled metal, electrical and electronic trades</v>
      </c>
      <c r="CA59" s="322">
        <f t="shared" si="155"/>
        <v>4.9700685422058433</v>
      </c>
      <c r="CB59" s="322">
        <f t="shared" si="155"/>
        <v>4.8880529809954165</v>
      </c>
      <c r="CC59" s="322">
        <f t="shared" si="155"/>
        <v>4.6687465932670156</v>
      </c>
      <c r="CD59" s="322">
        <f t="shared" si="155"/>
        <v>4.3791386419190825</v>
      </c>
      <c r="CE59" s="322">
        <f t="shared" si="155"/>
        <v>3.7599706290295449</v>
      </c>
      <c r="CG59" s="278">
        <f t="shared" si="133"/>
        <v>-57.169587835075056</v>
      </c>
      <c r="CH59" s="55">
        <f t="shared" si="134"/>
        <v>24.631285942793202</v>
      </c>
      <c r="CI59" s="55">
        <f t="shared" si="135"/>
        <v>-32.538301892281858</v>
      </c>
      <c r="CK59" t="str">
        <f t="shared" si="147"/>
        <v>52 Skilled metal, electrical and electronic trades</v>
      </c>
      <c r="CL59" s="322">
        <f t="shared" si="156"/>
        <v>5.3979895186999656</v>
      </c>
      <c r="CM59" s="322">
        <f t="shared" si="156"/>
        <v>5.6933599218991748</v>
      </c>
      <c r="CN59" s="322">
        <f t="shared" si="156"/>
        <v>4.5431702436467774</v>
      </c>
      <c r="CO59" s="322">
        <f t="shared" si="156"/>
        <v>4.1194929051182019</v>
      </c>
      <c r="CP59" s="322">
        <f t="shared" si="156"/>
        <v>3.756642611046932</v>
      </c>
      <c r="CR59" s="278">
        <f t="shared" si="137"/>
        <v>-68.397560862212487</v>
      </c>
      <c r="CS59" s="55">
        <f t="shared" si="138"/>
        <v>17.913822940990954</v>
      </c>
      <c r="CT59" s="55">
        <f t="shared" si="139"/>
        <v>-50.483737921221525</v>
      </c>
    </row>
    <row r="60" spans="1:98">
      <c r="A60" t="str">
        <f t="shared" si="103"/>
        <v>53 Skilled construction and building trades</v>
      </c>
      <c r="B60" s="322">
        <f t="shared" si="148"/>
        <v>0.12688547652915594</v>
      </c>
      <c r="C60" s="322">
        <f t="shared" si="148"/>
        <v>7.8135169487377157E-2</v>
      </c>
      <c r="D60" s="322">
        <f t="shared" si="148"/>
        <v>4.9857710757289259E-2</v>
      </c>
      <c r="E60" s="322">
        <f t="shared" si="148"/>
        <v>5.3827293705312834E-2</v>
      </c>
      <c r="F60" s="322">
        <f t="shared" si="148"/>
        <v>3.7979756335331814E-2</v>
      </c>
      <c r="H60" s="278">
        <f t="shared" si="105"/>
        <v>44.762961606895296</v>
      </c>
      <c r="I60" s="55">
        <f t="shared" si="106"/>
        <v>54.915385547438909</v>
      </c>
      <c r="J60" s="55">
        <f t="shared" si="107"/>
        <v>99.678347154334219</v>
      </c>
      <c r="L60" t="str">
        <f t="shared" si="140"/>
        <v>53 Skilled construction and building trades</v>
      </c>
      <c r="M60" s="322">
        <f t="shared" si="149"/>
        <v>0.46257365486012114</v>
      </c>
      <c r="N60" s="322">
        <f t="shared" si="149"/>
        <v>0.41293557682473608</v>
      </c>
      <c r="O60" s="322">
        <f t="shared" si="149"/>
        <v>0.29344058469864448</v>
      </c>
      <c r="P60" s="322">
        <f t="shared" si="149"/>
        <v>0.31394786626093812</v>
      </c>
      <c r="Q60" s="322">
        <f t="shared" si="149"/>
        <v>0.30497929375513089</v>
      </c>
      <c r="S60" s="278">
        <f t="shared" si="109"/>
        <v>93.64912614341705</v>
      </c>
      <c r="T60" s="55">
        <f t="shared" si="110"/>
        <v>67.495573184452482</v>
      </c>
      <c r="U60" s="55">
        <f t="shared" si="111"/>
        <v>161.14469932786955</v>
      </c>
      <c r="W60" t="str">
        <f t="shared" si="141"/>
        <v>53 Skilled construction and building trades</v>
      </c>
      <c r="X60" s="322">
        <f t="shared" si="150"/>
        <v>0.78481000292404901</v>
      </c>
      <c r="Y60" s="322">
        <f t="shared" si="150"/>
        <v>0.73260282395367604</v>
      </c>
      <c r="Z60" s="322">
        <f t="shared" si="150"/>
        <v>0.53083462135841364</v>
      </c>
      <c r="AA60" s="322">
        <f t="shared" si="150"/>
        <v>0.5674690131027299</v>
      </c>
      <c r="AB60" s="322">
        <f t="shared" si="150"/>
        <v>0.54361430140814393</v>
      </c>
      <c r="AD60" s="278">
        <f t="shared" si="113"/>
        <v>26.327882212909902</v>
      </c>
      <c r="AE60" s="55">
        <f t="shared" si="114"/>
        <v>57.993660470765654</v>
      </c>
      <c r="AF60" s="55">
        <f t="shared" si="115"/>
        <v>84.32154268367556</v>
      </c>
      <c r="AH60" t="str">
        <f t="shared" si="142"/>
        <v>53 Skilled construction and building trades</v>
      </c>
      <c r="AI60" s="322">
        <f t="shared" si="151"/>
        <v>1.431624498156763</v>
      </c>
      <c r="AJ60" s="322">
        <f t="shared" si="151"/>
        <v>1.678030041027915</v>
      </c>
      <c r="AK60" s="322">
        <f t="shared" si="151"/>
        <v>1.3245871109719343</v>
      </c>
      <c r="AL60" s="322">
        <f t="shared" si="151"/>
        <v>1.5625586785459011</v>
      </c>
      <c r="AM60" s="322">
        <f t="shared" si="151"/>
        <v>1.6560189797775036</v>
      </c>
      <c r="AO60" s="278">
        <f t="shared" si="117"/>
        <v>31.917765168895183</v>
      </c>
      <c r="AP60" s="55">
        <f t="shared" si="118"/>
        <v>62.815885138862612</v>
      </c>
      <c r="AQ60" s="55">
        <f t="shared" si="119"/>
        <v>94.733650307757799</v>
      </c>
      <c r="AS60" t="str">
        <f t="shared" si="143"/>
        <v>53 Skilled construction and building trades</v>
      </c>
      <c r="AT60" s="322">
        <f t="shared" si="152"/>
        <v>2.1096023267709487</v>
      </c>
      <c r="AU60" s="322">
        <f t="shared" si="152"/>
        <v>2.5052963371881196</v>
      </c>
      <c r="AV60" s="322">
        <f t="shared" si="152"/>
        <v>1.9791580620360767</v>
      </c>
      <c r="AW60" s="322">
        <f t="shared" si="152"/>
        <v>2.1341525131355628</v>
      </c>
      <c r="AX60" s="322">
        <f t="shared" si="152"/>
        <v>1.9275230134477559</v>
      </c>
      <c r="AZ60" s="278">
        <f t="shared" si="121"/>
        <v>14.71273558094933</v>
      </c>
      <c r="BA60" s="55">
        <f t="shared" si="122"/>
        <v>55.625087135178418</v>
      </c>
      <c r="BB60" s="55">
        <f t="shared" si="123"/>
        <v>70.337822716127747</v>
      </c>
      <c r="BD60" t="str">
        <f t="shared" si="144"/>
        <v>53 Skilled construction and building trades</v>
      </c>
      <c r="BE60" s="322">
        <f t="shared" si="153"/>
        <v>5.770483779633782</v>
      </c>
      <c r="BF60" s="322">
        <f t="shared" si="153"/>
        <v>6.2767605399033961</v>
      </c>
      <c r="BG60" s="322">
        <f t="shared" si="153"/>
        <v>5.4315358384198449</v>
      </c>
      <c r="BH60" s="322">
        <f t="shared" si="153"/>
        <v>5.1467500327159881</v>
      </c>
      <c r="BI60" s="322">
        <f t="shared" si="153"/>
        <v>4.5011538526206829</v>
      </c>
      <c r="BK60" s="278">
        <f t="shared" si="125"/>
        <v>-12.482642635989992</v>
      </c>
      <c r="BL60" s="55">
        <f t="shared" si="126"/>
        <v>36.46399263114953</v>
      </c>
      <c r="BM60" s="55">
        <f t="shared" si="127"/>
        <v>23.981349995159537</v>
      </c>
      <c r="BO60" t="str">
        <f t="shared" si="145"/>
        <v>53 Skilled construction and building trades</v>
      </c>
      <c r="BP60" s="322">
        <f t="shared" si="154"/>
        <v>4.9895954980006145</v>
      </c>
      <c r="BQ60" s="322">
        <f t="shared" si="154"/>
        <v>6.1519146826309141</v>
      </c>
      <c r="BR60" s="322">
        <f t="shared" si="154"/>
        <v>5.6493951349364764</v>
      </c>
      <c r="BS60" s="322">
        <f t="shared" si="154"/>
        <v>5.8834766801798057</v>
      </c>
      <c r="BT60" s="322">
        <f t="shared" si="154"/>
        <v>6.2567288601215063</v>
      </c>
      <c r="BV60" s="278">
        <f t="shared" si="129"/>
        <v>2.1408525856577607</v>
      </c>
      <c r="BW60" s="55">
        <f t="shared" si="130"/>
        <v>49.041897018534918</v>
      </c>
      <c r="BX60" s="55">
        <f t="shared" si="131"/>
        <v>51.182749604192679</v>
      </c>
      <c r="BZ60" t="str">
        <f t="shared" si="146"/>
        <v>53 Skilled construction and building trades</v>
      </c>
      <c r="CA60" s="322">
        <f t="shared" si="155"/>
        <v>4.1631360866640277</v>
      </c>
      <c r="CB60" s="322">
        <f t="shared" si="155"/>
        <v>4.6799995188914334</v>
      </c>
      <c r="CC60" s="322">
        <f t="shared" si="155"/>
        <v>4.4605653498947992</v>
      </c>
      <c r="CD60" s="322">
        <f t="shared" si="155"/>
        <v>4.3770133189907279</v>
      </c>
      <c r="CE60" s="322">
        <f t="shared" si="155"/>
        <v>4.8612684665475285</v>
      </c>
      <c r="CG60" s="278">
        <f t="shared" si="133"/>
        <v>-42.040076575999215</v>
      </c>
      <c r="CH60" s="55">
        <f t="shared" si="134"/>
        <v>30.491593068771046</v>
      </c>
      <c r="CI60" s="55">
        <f t="shared" si="135"/>
        <v>-11.548483507228173</v>
      </c>
      <c r="CK60" t="str">
        <f t="shared" si="147"/>
        <v>53 Skilled construction and building trades</v>
      </c>
      <c r="CL60" s="322">
        <f t="shared" si="156"/>
        <v>5.8230165322003344</v>
      </c>
      <c r="CM60" s="322">
        <f t="shared" si="156"/>
        <v>7.5756556493131288</v>
      </c>
      <c r="CN60" s="322">
        <f t="shared" si="156"/>
        <v>6.2742278202139108</v>
      </c>
      <c r="CO60" s="322">
        <f t="shared" si="156"/>
        <v>5.0200124455291233</v>
      </c>
      <c r="CP60" s="322">
        <f t="shared" si="156"/>
        <v>1.4814848947271633</v>
      </c>
      <c r="CR60" s="278">
        <f t="shared" si="137"/>
        <v>-90.975634467329314</v>
      </c>
      <c r="CS60" s="55">
        <f t="shared" si="138"/>
        <v>12.009191113314417</v>
      </c>
      <c r="CT60" s="55">
        <f t="shared" si="139"/>
        <v>-78.966443354014899</v>
      </c>
    </row>
    <row r="61" spans="1:98">
      <c r="A61" t="str">
        <f t="shared" si="103"/>
        <v>54 Textiles, printing and other skilled trades</v>
      </c>
      <c r="B61" s="322">
        <f t="shared" si="148"/>
        <v>0.65963358469906141</v>
      </c>
      <c r="C61" s="322">
        <f t="shared" si="148"/>
        <v>0.48158593755362528</v>
      </c>
      <c r="D61" s="322">
        <f t="shared" si="148"/>
        <v>0.43704246253256518</v>
      </c>
      <c r="E61" s="322">
        <f t="shared" si="148"/>
        <v>0.46575857813712618</v>
      </c>
      <c r="F61" s="322">
        <f t="shared" si="148"/>
        <v>0.41302199453457322</v>
      </c>
      <c r="H61" s="278">
        <f t="shared" si="105"/>
        <v>79.592073288208169</v>
      </c>
      <c r="I61" s="55">
        <f t="shared" si="106"/>
        <v>67.99305389574576</v>
      </c>
      <c r="J61" s="55">
        <f t="shared" si="107"/>
        <v>147.58512718395394</v>
      </c>
      <c r="L61" t="str">
        <f t="shared" si="140"/>
        <v>54 Textiles, printing and other skilled trades</v>
      </c>
      <c r="M61" s="322">
        <f t="shared" si="149"/>
        <v>0.64417573363895497</v>
      </c>
      <c r="N61" s="322">
        <f t="shared" si="149"/>
        <v>0.58927154405404747</v>
      </c>
      <c r="O61" s="322">
        <f t="shared" si="149"/>
        <v>0.62565546184226739</v>
      </c>
      <c r="P61" s="322">
        <f t="shared" si="149"/>
        <v>0.6414184068162363</v>
      </c>
      <c r="Q61" s="322">
        <f t="shared" si="149"/>
        <v>0.68924349232239956</v>
      </c>
      <c r="S61" s="278">
        <f t="shared" si="109"/>
        <v>105.25927971759276</v>
      </c>
      <c r="T61" s="55">
        <f t="shared" si="110"/>
        <v>78.822824149460587</v>
      </c>
      <c r="U61" s="55">
        <f t="shared" si="111"/>
        <v>184.08210386705332</v>
      </c>
      <c r="W61" t="str">
        <f t="shared" si="141"/>
        <v>54 Textiles, printing and other skilled trades</v>
      </c>
      <c r="X61" s="322">
        <f t="shared" si="150"/>
        <v>0.82765203086756745</v>
      </c>
      <c r="Y61" s="322">
        <f t="shared" si="150"/>
        <v>0.71345719525646401</v>
      </c>
      <c r="Z61" s="322">
        <f t="shared" si="150"/>
        <v>0.71153697153359674</v>
      </c>
      <c r="AA61" s="322">
        <f t="shared" si="150"/>
        <v>0.80413741342561551</v>
      </c>
      <c r="AB61" s="322">
        <f t="shared" si="150"/>
        <v>0.87930026445995646</v>
      </c>
      <c r="AD61" s="278">
        <f t="shared" si="113"/>
        <v>52.442939605023497</v>
      </c>
      <c r="AE61" s="55">
        <f t="shared" si="114"/>
        <v>72.324879605371493</v>
      </c>
      <c r="AF61" s="55">
        <f t="shared" si="115"/>
        <v>124.76781921039499</v>
      </c>
      <c r="AH61" t="str">
        <f t="shared" si="142"/>
        <v>54 Textiles, printing and other skilled trades</v>
      </c>
      <c r="AI61" s="322">
        <f t="shared" si="151"/>
        <v>0.9934218359536231</v>
      </c>
      <c r="AJ61" s="322">
        <f t="shared" si="151"/>
        <v>0.84386913582099476</v>
      </c>
      <c r="AK61" s="322">
        <f t="shared" si="151"/>
        <v>0.92907457145351457</v>
      </c>
      <c r="AL61" s="322">
        <f t="shared" si="151"/>
        <v>1.000397688390867</v>
      </c>
      <c r="AM61" s="322">
        <f t="shared" si="151"/>
        <v>1.1027177261725052</v>
      </c>
      <c r="AO61" s="278">
        <f t="shared" si="117"/>
        <v>25.236892315721519</v>
      </c>
      <c r="AP61" s="55">
        <f t="shared" si="118"/>
        <v>64.548341607059129</v>
      </c>
      <c r="AQ61" s="55">
        <f t="shared" si="119"/>
        <v>89.785233922780662</v>
      </c>
      <c r="AS61" t="str">
        <f t="shared" si="143"/>
        <v>54 Textiles, printing and other skilled trades</v>
      </c>
      <c r="AT61" s="322">
        <f t="shared" si="152"/>
        <v>1.1896661320569482</v>
      </c>
      <c r="AU61" s="322">
        <f t="shared" si="152"/>
        <v>1.0039468503538487</v>
      </c>
      <c r="AV61" s="322">
        <f t="shared" si="152"/>
        <v>1.0749058828031277</v>
      </c>
      <c r="AW61" s="322">
        <f t="shared" si="152"/>
        <v>1.1439852277719476</v>
      </c>
      <c r="AX61" s="322">
        <f t="shared" si="152"/>
        <v>1.179631486930214</v>
      </c>
      <c r="AZ61" s="278">
        <f t="shared" si="121"/>
        <v>29.261282622469114</v>
      </c>
      <c r="BA61" s="55">
        <f t="shared" si="122"/>
        <v>61.82139073994788</v>
      </c>
      <c r="BB61" s="55">
        <f t="shared" si="123"/>
        <v>91.082673362416998</v>
      </c>
      <c r="BD61" t="str">
        <f t="shared" si="144"/>
        <v>54 Textiles, printing and other skilled trades</v>
      </c>
      <c r="BE61" s="322">
        <f t="shared" si="153"/>
        <v>2.1307828948532404</v>
      </c>
      <c r="BF61" s="322">
        <f t="shared" si="153"/>
        <v>1.9451183846083735</v>
      </c>
      <c r="BG61" s="322">
        <f t="shared" si="153"/>
        <v>1.9187138884624466</v>
      </c>
      <c r="BH61" s="322">
        <f t="shared" si="153"/>
        <v>2.1451027627692998</v>
      </c>
      <c r="BI61" s="322">
        <f t="shared" si="153"/>
        <v>2.1724961875402991</v>
      </c>
      <c r="BK61" s="278">
        <f t="shared" si="125"/>
        <v>19.575385866072697</v>
      </c>
      <c r="BL61" s="55">
        <f t="shared" si="126"/>
        <v>45.931212496342717</v>
      </c>
      <c r="BM61" s="55">
        <f t="shared" si="127"/>
        <v>65.506598362415417</v>
      </c>
      <c r="BO61" t="str">
        <f t="shared" si="145"/>
        <v>54 Textiles, printing and other skilled trades</v>
      </c>
      <c r="BP61" s="322">
        <f t="shared" si="154"/>
        <v>2.2405837237709756</v>
      </c>
      <c r="BQ61" s="322">
        <f t="shared" si="154"/>
        <v>1.9276966621648048</v>
      </c>
      <c r="BR61" s="322">
        <f t="shared" si="154"/>
        <v>2.0700825479706739</v>
      </c>
      <c r="BS61" s="322">
        <f t="shared" si="154"/>
        <v>2.0451500671544864</v>
      </c>
      <c r="BT61" s="322">
        <f t="shared" si="154"/>
        <v>2.1032170997300237</v>
      </c>
      <c r="BV61" s="278">
        <f t="shared" si="129"/>
        <v>-6.2976386730223428</v>
      </c>
      <c r="BW61" s="55">
        <f t="shared" si="130"/>
        <v>40.473890595983583</v>
      </c>
      <c r="BX61" s="55">
        <f t="shared" si="131"/>
        <v>34.176251922961235</v>
      </c>
      <c r="BZ61" t="str">
        <f t="shared" si="146"/>
        <v>54 Textiles, printing and other skilled trades</v>
      </c>
      <c r="CA61" s="322">
        <f t="shared" si="155"/>
        <v>2.6757344162217271</v>
      </c>
      <c r="CB61" s="322">
        <f t="shared" si="155"/>
        <v>2.4743241657625914</v>
      </c>
      <c r="CC61" s="322">
        <f t="shared" si="155"/>
        <v>2.6323504290584268</v>
      </c>
      <c r="CD61" s="322">
        <f t="shared" si="155"/>
        <v>2.838295661624044</v>
      </c>
      <c r="CE61" s="322">
        <f t="shared" si="155"/>
        <v>2.7824085084101404</v>
      </c>
      <c r="CG61" s="278">
        <f t="shared" si="133"/>
        <v>-43.785896052353259</v>
      </c>
      <c r="CH61" s="55">
        <f t="shared" si="134"/>
        <v>30.009221621216636</v>
      </c>
      <c r="CI61" s="55">
        <f t="shared" si="135"/>
        <v>-13.776674431136621</v>
      </c>
      <c r="CK61" t="str">
        <f t="shared" si="147"/>
        <v>54 Textiles, printing and other skilled trades</v>
      </c>
      <c r="CL61" s="322">
        <f t="shared" si="156"/>
        <v>3.6169682076946446</v>
      </c>
      <c r="CM61" s="322">
        <f t="shared" si="156"/>
        <v>3.405929148536504</v>
      </c>
      <c r="CN61" s="322">
        <f t="shared" si="156"/>
        <v>3.6706773285120482</v>
      </c>
      <c r="CO61" s="322">
        <f t="shared" si="156"/>
        <v>3.3037463630786599</v>
      </c>
      <c r="CP61" s="322">
        <f t="shared" si="156"/>
        <v>3.4688658205502034</v>
      </c>
      <c r="CR61" s="278">
        <f t="shared" si="137"/>
        <v>-63.882221838430752</v>
      </c>
      <c r="CS61" s="55">
        <f t="shared" si="138"/>
        <v>17.567251492470046</v>
      </c>
      <c r="CT61" s="55">
        <f t="shared" si="139"/>
        <v>-46.31497034596071</v>
      </c>
    </row>
    <row r="62" spans="1:98">
      <c r="A62" t="str">
        <f t="shared" si="103"/>
        <v>61 Caring personal service occupations</v>
      </c>
      <c r="B62" s="322">
        <f t="shared" si="148"/>
        <v>0.36703337514455592</v>
      </c>
      <c r="C62" s="322">
        <f t="shared" si="148"/>
        <v>0.37610459617341996</v>
      </c>
      <c r="D62" s="322">
        <f t="shared" si="148"/>
        <v>0.3863872382375339</v>
      </c>
      <c r="E62" s="322">
        <f t="shared" si="148"/>
        <v>0.41071414678518858</v>
      </c>
      <c r="F62" s="322">
        <f t="shared" si="148"/>
        <v>0.49764427809521172</v>
      </c>
      <c r="H62" s="278">
        <f t="shared" si="105"/>
        <v>144.75628917764209</v>
      </c>
      <c r="I62" s="55">
        <f t="shared" si="106"/>
        <v>87.328340691726609</v>
      </c>
      <c r="J62" s="55">
        <f t="shared" si="107"/>
        <v>232.08462986936871</v>
      </c>
      <c r="L62" t="str">
        <f t="shared" si="140"/>
        <v>61 Caring personal service occupations</v>
      </c>
      <c r="M62" s="322">
        <f t="shared" si="149"/>
        <v>3.0865244416383297</v>
      </c>
      <c r="N62" s="322">
        <f t="shared" si="149"/>
        <v>3.3175096315972019</v>
      </c>
      <c r="O62" s="322">
        <f t="shared" si="149"/>
        <v>3.4413201225797487</v>
      </c>
      <c r="P62" s="322">
        <f t="shared" si="149"/>
        <v>3.9194537568236703</v>
      </c>
      <c r="Q62" s="322">
        <f t="shared" si="149"/>
        <v>5.0921421463002421</v>
      </c>
      <c r="S62" s="278">
        <f t="shared" si="109"/>
        <v>175.70256777314924</v>
      </c>
      <c r="T62" s="55">
        <f t="shared" si="110"/>
        <v>100.60485405910869</v>
      </c>
      <c r="U62" s="55">
        <f t="shared" si="111"/>
        <v>276.30742183225789</v>
      </c>
      <c r="W62" t="str">
        <f t="shared" si="141"/>
        <v>61 Caring personal service occupations</v>
      </c>
      <c r="X62" s="322">
        <f t="shared" si="150"/>
        <v>4.9782360586154155</v>
      </c>
      <c r="Y62" s="322">
        <f t="shared" si="150"/>
        <v>5.3163104902459404</v>
      </c>
      <c r="Z62" s="322">
        <f t="shared" si="150"/>
        <v>5.5882072103586893</v>
      </c>
      <c r="AA62" s="322">
        <f t="shared" si="150"/>
        <v>5.9953518864137854</v>
      </c>
      <c r="AB62" s="322">
        <f t="shared" si="150"/>
        <v>6.7614596271172154</v>
      </c>
      <c r="AD62" s="278">
        <f t="shared" si="113"/>
        <v>49.257285811961978</v>
      </c>
      <c r="AE62" s="55">
        <f t="shared" si="114"/>
        <v>83.819848171553232</v>
      </c>
      <c r="AF62" s="55">
        <f t="shared" si="115"/>
        <v>133.07713398351521</v>
      </c>
      <c r="AH62" t="str">
        <f t="shared" si="142"/>
        <v>61 Caring personal service occupations</v>
      </c>
      <c r="AI62" s="322">
        <f t="shared" si="151"/>
        <v>13.902881588065974</v>
      </c>
      <c r="AJ62" s="322">
        <f t="shared" si="151"/>
        <v>14.11527631635</v>
      </c>
      <c r="AK62" s="322">
        <f t="shared" si="151"/>
        <v>15.094925573015649</v>
      </c>
      <c r="AL62" s="322">
        <f t="shared" si="151"/>
        <v>14.785605417278012</v>
      </c>
      <c r="AM62" s="322">
        <f t="shared" si="151"/>
        <v>15.094084541905204</v>
      </c>
      <c r="AO62" s="278">
        <f t="shared" si="117"/>
        <v>5.5101650016740038</v>
      </c>
      <c r="AP62" s="55">
        <f t="shared" si="118"/>
        <v>59.574841710304582</v>
      </c>
      <c r="AQ62" s="55">
        <f t="shared" si="119"/>
        <v>65.085006711978593</v>
      </c>
      <c r="AS62" t="str">
        <f t="shared" si="143"/>
        <v>61 Caring personal service occupations</v>
      </c>
      <c r="AT62" s="322">
        <f t="shared" si="152"/>
        <v>7.3443860332247919</v>
      </c>
      <c r="AU62" s="322">
        <f t="shared" si="152"/>
        <v>8.0465994300429315</v>
      </c>
      <c r="AV62" s="322">
        <f t="shared" si="152"/>
        <v>8.6748394008848226</v>
      </c>
      <c r="AW62" s="322">
        <f t="shared" si="152"/>
        <v>8.2330350243060195</v>
      </c>
      <c r="AX62" s="322">
        <f t="shared" si="152"/>
        <v>8.3617680508938328</v>
      </c>
      <c r="AZ62" s="278">
        <f t="shared" si="121"/>
        <v>13.534857039580858</v>
      </c>
      <c r="BA62" s="55">
        <f t="shared" si="122"/>
        <v>63.201019658034404</v>
      </c>
      <c r="BB62" s="55">
        <f t="shared" si="123"/>
        <v>76.735876697615268</v>
      </c>
      <c r="BD62" t="str">
        <f t="shared" si="144"/>
        <v>61 Caring personal service occupations</v>
      </c>
      <c r="BE62" s="322">
        <f t="shared" si="153"/>
        <v>12.375380812314992</v>
      </c>
      <c r="BF62" s="322">
        <f t="shared" si="153"/>
        <v>13.839366438730533</v>
      </c>
      <c r="BG62" s="322">
        <f t="shared" si="153"/>
        <v>13.823025167720274</v>
      </c>
      <c r="BH62" s="322">
        <f t="shared" si="153"/>
        <v>14.055063574112731</v>
      </c>
      <c r="BI62" s="322">
        <f t="shared" si="153"/>
        <v>15.012032934497929</v>
      </c>
      <c r="BK62" s="278">
        <f t="shared" si="125"/>
        <v>14.691015202067584</v>
      </c>
      <c r="BL62" s="55">
        <f t="shared" si="126"/>
        <v>60.895399540869541</v>
      </c>
      <c r="BM62" s="55">
        <f t="shared" si="127"/>
        <v>75.586414742937123</v>
      </c>
      <c r="BO62" t="str">
        <f t="shared" si="145"/>
        <v>61 Caring personal service occupations</v>
      </c>
      <c r="BP62" s="322">
        <f t="shared" si="154"/>
        <v>10.037208122721371</v>
      </c>
      <c r="BQ62" s="322">
        <f t="shared" si="154"/>
        <v>10.527314342577087</v>
      </c>
      <c r="BR62" s="322">
        <f t="shared" si="154"/>
        <v>10.06884650853601</v>
      </c>
      <c r="BS62" s="322">
        <f t="shared" si="154"/>
        <v>9.6588696035007757</v>
      </c>
      <c r="BT62" s="322">
        <f t="shared" si="154"/>
        <v>9.0119694564466286</v>
      </c>
      <c r="BV62" s="278">
        <f t="shared" si="129"/>
        <v>-17.45437008308453</v>
      </c>
      <c r="BW62" s="55">
        <f t="shared" si="130"/>
        <v>49.612080940824463</v>
      </c>
      <c r="BX62" s="55">
        <f t="shared" si="131"/>
        <v>32.157710857739929</v>
      </c>
      <c r="BZ62" t="str">
        <f t="shared" si="146"/>
        <v>61 Caring personal service occupations</v>
      </c>
      <c r="CA62" s="322">
        <f t="shared" si="155"/>
        <v>4.2398156404391401</v>
      </c>
      <c r="CB62" s="322">
        <f t="shared" si="155"/>
        <v>2.7170066173850911</v>
      </c>
      <c r="CC62" s="322">
        <f t="shared" si="155"/>
        <v>2.4424266734105871</v>
      </c>
      <c r="CD62" s="322">
        <f t="shared" si="155"/>
        <v>1.9789635205046934</v>
      </c>
      <c r="CE62" s="322">
        <f t="shared" si="155"/>
        <v>2.3147546705346973</v>
      </c>
      <c r="CG62" s="278">
        <f t="shared" si="133"/>
        <v>-49.597562659757884</v>
      </c>
      <c r="CH62" s="55">
        <f t="shared" si="134"/>
        <v>22.548968958385284</v>
      </c>
      <c r="CI62" s="55">
        <f t="shared" si="135"/>
        <v>-27.048593701372596</v>
      </c>
      <c r="CK62" t="str">
        <f t="shared" si="147"/>
        <v>61 Caring personal service occupations</v>
      </c>
      <c r="CL62" s="322">
        <f t="shared" si="156"/>
        <v>1.5947209679619798</v>
      </c>
      <c r="CM62" s="322">
        <f t="shared" si="156"/>
        <v>1.51473599710808</v>
      </c>
      <c r="CN62" s="322">
        <f t="shared" si="156"/>
        <v>1.6466264136779813</v>
      </c>
      <c r="CO62" s="322">
        <f t="shared" si="156"/>
        <v>2.0760251244411276</v>
      </c>
      <c r="CP62" s="322">
        <f t="shared" si="156"/>
        <v>2.4926301567206357</v>
      </c>
      <c r="CR62" s="278">
        <f t="shared" si="137"/>
        <v>-42.144786345295735</v>
      </c>
      <c r="CS62" s="55">
        <f t="shared" si="138"/>
        <v>22.466043235001493</v>
      </c>
      <c r="CT62" s="55">
        <f t="shared" si="139"/>
        <v>-19.678743110294242</v>
      </c>
    </row>
    <row r="63" spans="1:98">
      <c r="A63" t="str">
        <f t="shared" si="103"/>
        <v>62 Leisure, travel and related personal service occupations</v>
      </c>
      <c r="B63" s="322">
        <f t="shared" si="148"/>
        <v>0.16871460053935669</v>
      </c>
      <c r="C63" s="322">
        <f t="shared" si="148"/>
        <v>0.22024271400182854</v>
      </c>
      <c r="D63" s="322">
        <f t="shared" si="148"/>
        <v>0.24213193098446911</v>
      </c>
      <c r="E63" s="322">
        <f t="shared" si="148"/>
        <v>0.26094435398789323</v>
      </c>
      <c r="F63" s="322">
        <f t="shared" si="148"/>
        <v>0.30841128640272497</v>
      </c>
      <c r="H63" s="278">
        <f t="shared" si="105"/>
        <v>142.0559800164645</v>
      </c>
      <c r="I63" s="55">
        <f t="shared" si="106"/>
        <v>92.621089705120511</v>
      </c>
      <c r="J63" s="55">
        <f t="shared" si="107"/>
        <v>234.67706972158501</v>
      </c>
      <c r="L63" t="str">
        <f t="shared" si="140"/>
        <v>62 Leisure, travel and related personal service occupations</v>
      </c>
      <c r="M63" s="322">
        <f t="shared" si="149"/>
        <v>0.563103665123458</v>
      </c>
      <c r="N63" s="322">
        <f t="shared" si="149"/>
        <v>0.48305320170881472</v>
      </c>
      <c r="O63" s="322">
        <f t="shared" si="149"/>
        <v>0.48188289312530935</v>
      </c>
      <c r="P63" s="322">
        <f t="shared" si="149"/>
        <v>0.43348347787334701</v>
      </c>
      <c r="Q63" s="322">
        <f t="shared" si="149"/>
        <v>0.51615075991239778</v>
      </c>
      <c r="S63" s="278">
        <f t="shared" si="109"/>
        <v>99.572376302527388</v>
      </c>
      <c r="T63" s="55">
        <f t="shared" si="110"/>
        <v>73.739307935256619</v>
      </c>
      <c r="U63" s="55">
        <f t="shared" si="111"/>
        <v>173.31168423778399</v>
      </c>
      <c r="W63" t="str">
        <f t="shared" si="141"/>
        <v>62 Leisure, travel and related personal service occupations</v>
      </c>
      <c r="X63" s="322">
        <f t="shared" si="150"/>
        <v>1.0699061425883554</v>
      </c>
      <c r="Y63" s="322">
        <f t="shared" si="150"/>
        <v>1.0770965462729616</v>
      </c>
      <c r="Z63" s="322">
        <f t="shared" si="150"/>
        <v>1.0258276698993989</v>
      </c>
      <c r="AA63" s="322">
        <f t="shared" si="150"/>
        <v>1.09087333809355</v>
      </c>
      <c r="AB63" s="322">
        <f t="shared" si="150"/>
        <v>1.3224896746293802</v>
      </c>
      <c r="AD63" s="278">
        <f t="shared" si="113"/>
        <v>59.032344970062042</v>
      </c>
      <c r="AE63" s="55">
        <f t="shared" si="114"/>
        <v>79.337180501017684</v>
      </c>
      <c r="AF63" s="55">
        <f t="shared" si="115"/>
        <v>138.36952547107975</v>
      </c>
      <c r="AH63" t="str">
        <f t="shared" si="142"/>
        <v>62 Leisure, travel and related personal service occupations</v>
      </c>
      <c r="AI63" s="322">
        <f t="shared" si="151"/>
        <v>2.2265549599621504</v>
      </c>
      <c r="AJ63" s="322">
        <f t="shared" si="151"/>
        <v>2.313899447722227</v>
      </c>
      <c r="AK63" s="322">
        <f t="shared" si="151"/>
        <v>2.2490380188041814</v>
      </c>
      <c r="AL63" s="322">
        <f t="shared" si="151"/>
        <v>2.3744601710208393</v>
      </c>
      <c r="AM63" s="322">
        <f t="shared" si="151"/>
        <v>2.9031091696220646</v>
      </c>
      <c r="AO63" s="278">
        <f t="shared" si="117"/>
        <v>36.202497321094981</v>
      </c>
      <c r="AP63" s="55">
        <f t="shared" si="118"/>
        <v>71.282416109080742</v>
      </c>
      <c r="AQ63" s="55">
        <f t="shared" si="119"/>
        <v>107.48491343017572</v>
      </c>
      <c r="AS63" t="str">
        <f t="shared" si="143"/>
        <v>62 Leisure, travel and related personal service occupations</v>
      </c>
      <c r="AT63" s="322">
        <f t="shared" si="152"/>
        <v>2.6313511301632642</v>
      </c>
      <c r="AU63" s="322">
        <f t="shared" si="152"/>
        <v>2.6241550044884958</v>
      </c>
      <c r="AV63" s="322">
        <f t="shared" si="152"/>
        <v>2.6874847388851322</v>
      </c>
      <c r="AW63" s="322">
        <f t="shared" si="152"/>
        <v>2.7104023486441151</v>
      </c>
      <c r="AX63" s="322">
        <f t="shared" si="152"/>
        <v>3.2196372796937998</v>
      </c>
      <c r="AZ63" s="278">
        <f t="shared" si="121"/>
        <v>41.108600643347891</v>
      </c>
      <c r="BA63" s="55">
        <f t="shared" si="122"/>
        <v>73.122562990878265</v>
      </c>
      <c r="BB63" s="55">
        <f t="shared" si="123"/>
        <v>114.23116363422616</v>
      </c>
      <c r="BD63" t="str">
        <f t="shared" si="144"/>
        <v>62 Leisure, travel and related personal service occupations</v>
      </c>
      <c r="BE63" s="322">
        <f t="shared" si="153"/>
        <v>2.7623894332932988</v>
      </c>
      <c r="BF63" s="322">
        <f t="shared" si="153"/>
        <v>2.215118883409946</v>
      </c>
      <c r="BG63" s="322">
        <f t="shared" si="153"/>
        <v>2.1001364485125471</v>
      </c>
      <c r="BH63" s="322">
        <f t="shared" si="153"/>
        <v>1.8494965575124835</v>
      </c>
      <c r="BI63" s="322">
        <f t="shared" si="153"/>
        <v>1.6687242879373929</v>
      </c>
      <c r="BK63" s="278">
        <f t="shared" si="125"/>
        <v>-16.086842728234092</v>
      </c>
      <c r="BL63" s="55">
        <f t="shared" si="126"/>
        <v>40.332134744525469</v>
      </c>
      <c r="BM63" s="55">
        <f t="shared" si="127"/>
        <v>24.24529201629138</v>
      </c>
      <c r="BO63" t="str">
        <f t="shared" si="145"/>
        <v>62 Leisure, travel and related personal service occupations</v>
      </c>
      <c r="BP63" s="322">
        <f t="shared" si="154"/>
        <v>2.9468004681501077</v>
      </c>
      <c r="BQ63" s="322">
        <f t="shared" si="154"/>
        <v>2.5023876792273052</v>
      </c>
      <c r="BR63" s="322">
        <f t="shared" si="154"/>
        <v>2.3507338727091276</v>
      </c>
      <c r="BS63" s="322">
        <f t="shared" si="154"/>
        <v>2.0646597027154954</v>
      </c>
      <c r="BT63" s="322">
        <f t="shared" si="154"/>
        <v>1.9214506054118472</v>
      </c>
      <c r="BV63" s="278">
        <f t="shared" si="129"/>
        <v>-24.615882574038146</v>
      </c>
      <c r="BW63" s="55">
        <f t="shared" si="130"/>
        <v>43.143115731276986</v>
      </c>
      <c r="BX63" s="55">
        <f t="shared" si="131"/>
        <v>18.527233157238836</v>
      </c>
      <c r="BZ63" t="str">
        <f t="shared" si="146"/>
        <v>62 Leisure, travel and related personal service occupations</v>
      </c>
      <c r="CA63" s="322">
        <f t="shared" si="155"/>
        <v>2.6201680804189156</v>
      </c>
      <c r="CB63" s="322">
        <f t="shared" si="155"/>
        <v>2.4915965673029437</v>
      </c>
      <c r="CC63" s="322">
        <f t="shared" si="155"/>
        <v>2.3191742603988552</v>
      </c>
      <c r="CD63" s="322">
        <f t="shared" si="155"/>
        <v>2.251123555044019</v>
      </c>
      <c r="CE63" s="322">
        <f t="shared" si="155"/>
        <v>2.3038770919903944</v>
      </c>
      <c r="CG63" s="278">
        <f t="shared" si="133"/>
        <v>-47.168367855978403</v>
      </c>
      <c r="CH63" s="55">
        <f t="shared" si="134"/>
        <v>32.191879883809591</v>
      </c>
      <c r="CI63" s="55">
        <f t="shared" si="135"/>
        <v>-14.976487972168808</v>
      </c>
      <c r="CK63" t="str">
        <f t="shared" si="147"/>
        <v>62 Leisure, travel and related personal service occupations</v>
      </c>
      <c r="CL63" s="322">
        <f t="shared" si="156"/>
        <v>2.5348902768698909</v>
      </c>
      <c r="CM63" s="322">
        <f t="shared" si="156"/>
        <v>2.2257814471550721</v>
      </c>
      <c r="CN63" s="322">
        <f t="shared" si="156"/>
        <v>2.31015969952001</v>
      </c>
      <c r="CO63" s="322">
        <f t="shared" si="156"/>
        <v>1.9235415518880199</v>
      </c>
      <c r="CP63" s="322">
        <f t="shared" si="156"/>
        <v>1.7988354405545259</v>
      </c>
      <c r="CR63" s="278">
        <f t="shared" si="137"/>
        <v>-70.240257676772018</v>
      </c>
      <c r="CS63" s="55">
        <f t="shared" si="138"/>
        <v>15.809135388099646</v>
      </c>
      <c r="CT63" s="55">
        <f t="shared" si="139"/>
        <v>-54.43112228867237</v>
      </c>
    </row>
    <row r="64" spans="1:98">
      <c r="A64" t="str">
        <f t="shared" si="103"/>
        <v>63 Community and civil enforcement occupations</v>
      </c>
      <c r="B64" s="322">
        <f t="shared" si="148"/>
        <v>2.0382631449758683E-2</v>
      </c>
      <c r="C64" s="322">
        <f t="shared" si="148"/>
        <v>2.3448694601996282E-2</v>
      </c>
      <c r="D64" s="322">
        <f t="shared" si="148"/>
        <v>1.8361810982148806E-2</v>
      </c>
      <c r="E64" s="322">
        <f t="shared" si="148"/>
        <v>2.1672155451063276E-2</v>
      </c>
      <c r="F64" s="322">
        <f t="shared" si="148"/>
        <v>2.2944065212102443E-2</v>
      </c>
      <c r="H64" s="278">
        <f t="shared" si="105"/>
        <v>137.46109986966047</v>
      </c>
      <c r="I64" s="55">
        <f t="shared" si="106"/>
        <v>94.554848227254681</v>
      </c>
      <c r="J64" s="55">
        <f t="shared" si="107"/>
        <v>232.01594809691514</v>
      </c>
      <c r="L64" t="str">
        <f t="shared" si="140"/>
        <v>63 Community and civil enforcement occupations</v>
      </c>
      <c r="M64" s="322">
        <f t="shared" si="149"/>
        <v>3.9611181965032709E-2</v>
      </c>
      <c r="N64" s="322">
        <f t="shared" si="149"/>
        <v>3.4080921144399062E-2</v>
      </c>
      <c r="O64" s="322">
        <f t="shared" si="149"/>
        <v>3.3689808073228446E-2</v>
      </c>
      <c r="P64" s="322">
        <f t="shared" si="149"/>
        <v>2.9616975687141455E-2</v>
      </c>
      <c r="Q64" s="322">
        <f t="shared" si="149"/>
        <v>3.2902308462554236E-2</v>
      </c>
      <c r="S64" s="278">
        <f t="shared" si="109"/>
        <v>81.967236354408726</v>
      </c>
      <c r="T64" s="55">
        <f t="shared" si="110"/>
        <v>70.469104632631826</v>
      </c>
      <c r="U64" s="55">
        <f t="shared" si="111"/>
        <v>152.43634098704055</v>
      </c>
      <c r="W64" t="str">
        <f t="shared" si="141"/>
        <v>63 Community and civil enforcement occupations</v>
      </c>
      <c r="X64" s="322">
        <f t="shared" si="150"/>
        <v>7.741156827495857E-2</v>
      </c>
      <c r="Y64" s="322">
        <f t="shared" si="150"/>
        <v>7.4165719788269635E-2</v>
      </c>
      <c r="Z64" s="322">
        <f t="shared" si="150"/>
        <v>7.5704223972101845E-2</v>
      </c>
      <c r="AA64" s="322">
        <f t="shared" si="150"/>
        <v>7.4595041781772814E-2</v>
      </c>
      <c r="AB64" s="322">
        <f t="shared" si="150"/>
        <v>8.2209293689729165E-2</v>
      </c>
      <c r="AD64" s="278">
        <f t="shared" si="113"/>
        <v>33.957917377401195</v>
      </c>
      <c r="AE64" s="55">
        <f t="shared" si="114"/>
        <v>76.57288143886511</v>
      </c>
      <c r="AF64" s="55">
        <f t="shared" si="115"/>
        <v>110.53079881626628</v>
      </c>
      <c r="AH64" t="str">
        <f t="shared" si="142"/>
        <v>63 Community and civil enforcement occupations</v>
      </c>
      <c r="AI64" s="322">
        <f t="shared" si="151"/>
        <v>7.1350549507977326E-2</v>
      </c>
      <c r="AJ64" s="322">
        <f t="shared" si="151"/>
        <v>6.5253069172044348E-2</v>
      </c>
      <c r="AK64" s="322">
        <f t="shared" si="151"/>
        <v>7.5871682752449293E-2</v>
      </c>
      <c r="AL64" s="322">
        <f t="shared" si="151"/>
        <v>6.6182219925268446E-2</v>
      </c>
      <c r="AM64" s="322">
        <f t="shared" si="151"/>
        <v>7.8798333639536727E-2</v>
      </c>
      <c r="AO64" s="278">
        <f t="shared" si="117"/>
        <v>9.5861872809988427</v>
      </c>
      <c r="AP64" s="55">
        <f t="shared" si="118"/>
        <v>55.541998479242025</v>
      </c>
      <c r="AQ64" s="55">
        <f t="shared" si="119"/>
        <v>65.128185760240868</v>
      </c>
      <c r="AS64" t="str">
        <f t="shared" si="143"/>
        <v>63 Community and civil enforcement occupations</v>
      </c>
      <c r="AT64" s="322">
        <f t="shared" si="152"/>
        <v>7.4088390022918199E-2</v>
      </c>
      <c r="AU64" s="322">
        <f t="shared" si="152"/>
        <v>6.6397291487877541E-2</v>
      </c>
      <c r="AV64" s="322">
        <f t="shared" si="152"/>
        <v>7.6371487029182714E-2</v>
      </c>
      <c r="AW64" s="322">
        <f t="shared" si="152"/>
        <v>5.9819153272880149E-2</v>
      </c>
      <c r="AX64" s="322">
        <f t="shared" si="152"/>
        <v>5.708344924668235E-2</v>
      </c>
      <c r="AZ64" s="278">
        <f t="shared" si="121"/>
        <v>-11.961728974613175</v>
      </c>
      <c r="BA64" s="55">
        <f t="shared" si="122"/>
        <v>56.472623404220599</v>
      </c>
      <c r="BB64" s="55">
        <f t="shared" si="123"/>
        <v>44.510894429607426</v>
      </c>
      <c r="BD64" t="str">
        <f t="shared" si="144"/>
        <v>63 Community and civil enforcement occupations</v>
      </c>
      <c r="BE64" s="322">
        <f t="shared" si="153"/>
        <v>6.9845942584609966E-2</v>
      </c>
      <c r="BF64" s="322">
        <f t="shared" si="153"/>
        <v>4.6947623370910546E-2</v>
      </c>
      <c r="BG64" s="322">
        <f t="shared" si="153"/>
        <v>6.759398388600743E-2</v>
      </c>
      <c r="BH64" s="322">
        <f t="shared" si="153"/>
        <v>4.3803560576380157E-2</v>
      </c>
      <c r="BI64" s="322">
        <f t="shared" si="153"/>
        <v>5.121490767053908E-2</v>
      </c>
      <c r="BK64" s="278">
        <f t="shared" si="125"/>
        <v>-19.983170854138883</v>
      </c>
      <c r="BL64" s="55">
        <f t="shared" si="126"/>
        <v>27.90170268762245</v>
      </c>
      <c r="BM64" s="55">
        <f t="shared" si="127"/>
        <v>7.9185318334835681</v>
      </c>
      <c r="BO64" t="str">
        <f t="shared" si="145"/>
        <v>63 Community and civil enforcement occupations</v>
      </c>
      <c r="BP64" s="322">
        <f t="shared" si="154"/>
        <v>9.9740292595494329E-2</v>
      </c>
      <c r="BQ64" s="322">
        <f t="shared" si="154"/>
        <v>8.5294806474538645E-2</v>
      </c>
      <c r="BR64" s="322">
        <f t="shared" si="154"/>
        <v>0.11319711471602198</v>
      </c>
      <c r="BS64" s="322">
        <f t="shared" si="154"/>
        <v>8.3167708240361973E-2</v>
      </c>
      <c r="BT64" s="322">
        <f t="shared" si="154"/>
        <v>0.10056637421566626</v>
      </c>
      <c r="BV64" s="278">
        <f t="shared" si="129"/>
        <v>-18.064608985793452</v>
      </c>
      <c r="BW64" s="55">
        <f t="shared" si="130"/>
        <v>37.013647670559536</v>
      </c>
      <c r="BX64" s="55">
        <f t="shared" si="131"/>
        <v>18.94903868476608</v>
      </c>
      <c r="BZ64" t="str">
        <f t="shared" si="146"/>
        <v>63 Community and civil enforcement occupations</v>
      </c>
      <c r="CA64" s="322">
        <f t="shared" si="155"/>
        <v>0.12916504401468051</v>
      </c>
      <c r="CB64" s="322">
        <f t="shared" si="155"/>
        <v>0.11686616888053707</v>
      </c>
      <c r="CC64" s="322">
        <f t="shared" si="155"/>
        <v>0.15668087888403298</v>
      </c>
      <c r="CD64" s="322">
        <f t="shared" si="155"/>
        <v>0.12531507334943973</v>
      </c>
      <c r="CE64" s="322">
        <f t="shared" si="155"/>
        <v>0.16622927925949355</v>
      </c>
      <c r="CG64" s="278">
        <f t="shared" si="133"/>
        <v>-43.57655144309274</v>
      </c>
      <c r="CH64" s="55">
        <f t="shared" si="134"/>
        <v>27.550207967646895</v>
      </c>
      <c r="CI64" s="55">
        <f t="shared" si="135"/>
        <v>-16.026343475445849</v>
      </c>
      <c r="CK64" t="str">
        <f t="shared" si="147"/>
        <v>63 Community and civil enforcement occupations</v>
      </c>
      <c r="CL64" s="322">
        <f t="shared" si="156"/>
        <v>0.12164732563834664</v>
      </c>
      <c r="CM64" s="322">
        <f t="shared" si="156"/>
        <v>9.0519174329046395E-2</v>
      </c>
      <c r="CN64" s="322">
        <f t="shared" si="156"/>
        <v>0.13225056477287561</v>
      </c>
      <c r="CO64" s="322">
        <f t="shared" si="156"/>
        <v>6.8945413498340172E-2</v>
      </c>
      <c r="CP64" s="322">
        <f t="shared" si="156"/>
        <v>6.1934036525605578E-2</v>
      </c>
      <c r="CR64" s="278">
        <f t="shared" si="137"/>
        <v>-82.101708167163721</v>
      </c>
      <c r="CS64" s="55">
        <f t="shared" si="138"/>
        <v>9.2520833886417932</v>
      </c>
      <c r="CT64" s="55">
        <f t="shared" si="139"/>
        <v>-72.849624778521928</v>
      </c>
    </row>
    <row r="65" spans="1:98">
      <c r="A65" t="str">
        <f t="shared" si="103"/>
        <v>71 Sales occupations</v>
      </c>
      <c r="B65" s="322">
        <f t="shared" ref="B65:F70" si="157">B28/B$35*100</f>
        <v>0.96793139703561692</v>
      </c>
      <c r="C65" s="322">
        <f t="shared" si="157"/>
        <v>0.80082832360975076</v>
      </c>
      <c r="D65" s="322">
        <f t="shared" si="157"/>
        <v>0.72651658407453268</v>
      </c>
      <c r="E65" s="322">
        <f t="shared" si="157"/>
        <v>0.70278326831172033</v>
      </c>
      <c r="F65" s="322">
        <f t="shared" si="157"/>
        <v>0.70543046677040255</v>
      </c>
      <c r="H65" s="278">
        <f t="shared" si="105"/>
        <v>84.521212289306419</v>
      </c>
      <c r="I65" s="55">
        <f t="shared" si="106"/>
        <v>61.869995247176732</v>
      </c>
      <c r="J65" s="55">
        <f t="shared" si="107"/>
        <v>146.39120753648314</v>
      </c>
      <c r="L65" t="str">
        <f t="shared" si="140"/>
        <v>71 Sales occupations</v>
      </c>
      <c r="M65" s="322">
        <f t="shared" ref="M65:Q70" si="158">M28/M$35*100</f>
        <v>2.3014165629749952</v>
      </c>
      <c r="N65" s="322">
        <f t="shared" si="158"/>
        <v>2.0587999679633389</v>
      </c>
      <c r="O65" s="322">
        <f t="shared" si="158"/>
        <v>2.0525722203719843</v>
      </c>
      <c r="P65" s="322">
        <f t="shared" si="158"/>
        <v>2.2363424325044541</v>
      </c>
      <c r="Q65" s="322">
        <f t="shared" si="158"/>
        <v>2.6663267219445745</v>
      </c>
      <c r="S65" s="278">
        <f t="shared" si="109"/>
        <v>142.0361771649614</v>
      </c>
      <c r="T65" s="55">
        <f t="shared" si="110"/>
        <v>75.221985034789782</v>
      </c>
      <c r="U65" s="55">
        <f t="shared" si="111"/>
        <v>217.25816219975118</v>
      </c>
      <c r="W65" t="str">
        <f t="shared" si="141"/>
        <v>71 Sales occupations</v>
      </c>
      <c r="X65" s="322">
        <f t="shared" ref="X65:AB70" si="159">X28/X$35*100</f>
        <v>4.5292484977566456</v>
      </c>
      <c r="Y65" s="322">
        <f t="shared" si="159"/>
        <v>4.1928792378706135</v>
      </c>
      <c r="Z65" s="322">
        <f t="shared" si="159"/>
        <v>4.3355855993231547</v>
      </c>
      <c r="AA65" s="322">
        <f t="shared" si="159"/>
        <v>4.493880019632349</v>
      </c>
      <c r="AB65" s="322">
        <f t="shared" si="159"/>
        <v>5.0989756516128404</v>
      </c>
      <c r="AD65" s="278">
        <f t="shared" si="113"/>
        <v>45.078399254015828</v>
      </c>
      <c r="AE65" s="55">
        <f t="shared" si="114"/>
        <v>64.928709848185733</v>
      </c>
      <c r="AF65" s="55">
        <f t="shared" si="115"/>
        <v>110.00710910220157</v>
      </c>
      <c r="AH65" t="str">
        <f t="shared" si="142"/>
        <v>71 Sales occupations</v>
      </c>
      <c r="AI65" s="322">
        <f t="shared" ref="AI65:AM70" si="160">AI28/AI$35*100</f>
        <v>4.5853581586268355</v>
      </c>
      <c r="AJ65" s="322">
        <f t="shared" si="160"/>
        <v>4.416415450715057</v>
      </c>
      <c r="AK65" s="322">
        <f t="shared" si="160"/>
        <v>4.7079990975261392</v>
      </c>
      <c r="AL65" s="322">
        <f t="shared" si="160"/>
        <v>4.9380543639693739</v>
      </c>
      <c r="AM65" s="322">
        <f t="shared" si="160"/>
        <v>5.6443684638278864</v>
      </c>
      <c r="AO65" s="278">
        <f t="shared" si="117"/>
        <v>26.50202741283179</v>
      </c>
      <c r="AP65" s="55">
        <f t="shared" si="118"/>
        <v>59.049403026646686</v>
      </c>
      <c r="AQ65" s="55">
        <f t="shared" si="119"/>
        <v>85.551430439478466</v>
      </c>
      <c r="AS65" t="str">
        <f t="shared" si="143"/>
        <v>71 Sales occupations</v>
      </c>
      <c r="AT65" s="322">
        <f t="shared" ref="AT65:AX70" si="161">AT28/AT$35*100</f>
        <v>4.203226573456786</v>
      </c>
      <c r="AU65" s="322">
        <f t="shared" si="161"/>
        <v>3.8929444205608212</v>
      </c>
      <c r="AV65" s="322">
        <f t="shared" si="161"/>
        <v>4.0347933932191165</v>
      </c>
      <c r="AW65" s="322">
        <f t="shared" si="161"/>
        <v>3.8079070337445717</v>
      </c>
      <c r="AX65" s="322">
        <f t="shared" si="161"/>
        <v>4.0450156709211136</v>
      </c>
      <c r="AZ65" s="278">
        <f t="shared" si="121"/>
        <v>18.084107604767592</v>
      </c>
      <c r="BA65" s="55">
        <f t="shared" si="122"/>
        <v>49.036584770806044</v>
      </c>
      <c r="BB65" s="55">
        <f t="shared" si="123"/>
        <v>67.120692375573626</v>
      </c>
      <c r="BD65" t="str">
        <f t="shared" si="144"/>
        <v>71 Sales occupations</v>
      </c>
      <c r="BE65" s="322">
        <f t="shared" ref="BE65:BI70" si="162">BE28/BE$35*100</f>
        <v>7.8073497034827595</v>
      </c>
      <c r="BF65" s="322">
        <f t="shared" si="162"/>
        <v>7.0244835310926454</v>
      </c>
      <c r="BG65" s="322">
        <f t="shared" si="162"/>
        <v>7.4274201823229413</v>
      </c>
      <c r="BH65" s="322">
        <f t="shared" si="162"/>
        <v>7.3275912503712171</v>
      </c>
      <c r="BI65" s="322">
        <f t="shared" si="162"/>
        <v>7.2920353177090194</v>
      </c>
      <c r="BK65" s="278">
        <f t="shared" si="125"/>
        <v>3.682093380369174</v>
      </c>
      <c r="BL65" s="55">
        <f t="shared" si="126"/>
        <v>45.306387906949048</v>
      </c>
      <c r="BM65" s="55">
        <f t="shared" si="127"/>
        <v>48.988481287318223</v>
      </c>
      <c r="BO65" t="str">
        <f t="shared" si="145"/>
        <v>71 Sales occupations</v>
      </c>
      <c r="BP65" s="322">
        <f t="shared" ref="BP65:BT70" si="163">BP28/BP$35*100</f>
        <v>8.3400754218050093</v>
      </c>
      <c r="BQ65" s="322">
        <f t="shared" si="163"/>
        <v>7.3753932154729158</v>
      </c>
      <c r="BR65" s="322">
        <f t="shared" si="163"/>
        <v>7.529608949248531</v>
      </c>
      <c r="BS65" s="322">
        <f t="shared" si="163"/>
        <v>7.2351513899258775</v>
      </c>
      <c r="BT65" s="322">
        <f t="shared" si="163"/>
        <v>6.8074552431039947</v>
      </c>
      <c r="BV65" s="278">
        <f t="shared" si="129"/>
        <v>-16.619121153666352</v>
      </c>
      <c r="BW65" s="55">
        <f t="shared" si="130"/>
        <v>45.418373685112599</v>
      </c>
      <c r="BX65" s="55">
        <f t="shared" si="131"/>
        <v>28.799252531446246</v>
      </c>
      <c r="BZ65" t="str">
        <f t="shared" si="146"/>
        <v>71 Sales occupations</v>
      </c>
      <c r="CA65" s="322">
        <f t="shared" ref="CA65:CE70" si="164">CA28/CA$35*100</f>
        <v>8.1382814328993813</v>
      </c>
      <c r="CB65" s="322">
        <f t="shared" si="164"/>
        <v>7.8610835146865012</v>
      </c>
      <c r="CC65" s="322">
        <f t="shared" si="164"/>
        <v>7.9115293309695067</v>
      </c>
      <c r="CD65" s="322">
        <f t="shared" si="164"/>
        <v>7.382343717601529</v>
      </c>
      <c r="CE65" s="322">
        <f t="shared" si="164"/>
        <v>4.9972142465133125</v>
      </c>
      <c r="CG65" s="278">
        <f t="shared" si="133"/>
        <v>-66.408017882388094</v>
      </c>
      <c r="CH65" s="55">
        <f t="shared" si="134"/>
        <v>24.641935287726604</v>
      </c>
      <c r="CI65" s="55">
        <f t="shared" si="135"/>
        <v>-41.766082594661491</v>
      </c>
      <c r="CK65" t="str">
        <f t="shared" si="147"/>
        <v>71 Sales occupations</v>
      </c>
      <c r="CL65" s="322">
        <f t="shared" ref="CL65:CP70" si="165">CL28/CL$35*100</f>
        <v>9.630239638345877</v>
      </c>
      <c r="CM65" s="322">
        <f t="shared" si="165"/>
        <v>8.7092568996279081</v>
      </c>
      <c r="CN65" s="322">
        <f t="shared" si="165"/>
        <v>9.1298534967506804</v>
      </c>
      <c r="CO65" s="322">
        <f t="shared" si="165"/>
        <v>8.0670458025356702</v>
      </c>
      <c r="CP65" s="322">
        <f t="shared" si="165"/>
        <v>6.6611053554449935</v>
      </c>
      <c r="CR65" s="278">
        <f t="shared" si="137"/>
        <v>-72.115540639669874</v>
      </c>
      <c r="CS65" s="55">
        <f t="shared" si="138"/>
        <v>13.733325195298685</v>
      </c>
      <c r="CT65" s="55">
        <f t="shared" si="139"/>
        <v>-58.382215444371191</v>
      </c>
    </row>
    <row r="66" spans="1:98">
      <c r="A66" t="str">
        <f t="shared" si="103"/>
        <v>72 Customer service occupations</v>
      </c>
      <c r="B66" s="322">
        <f t="shared" si="157"/>
        <v>0.50275382735522955</v>
      </c>
      <c r="C66" s="322">
        <f t="shared" si="157"/>
        <v>0.44154849184472073</v>
      </c>
      <c r="D66" s="322">
        <f t="shared" si="157"/>
        <v>0.48170114547015042</v>
      </c>
      <c r="E66" s="322">
        <f t="shared" si="157"/>
        <v>0.60664398558346144</v>
      </c>
      <c r="F66" s="322">
        <f t="shared" si="157"/>
        <v>0.7381859695209807</v>
      </c>
      <c r="H66" s="278">
        <f t="shared" si="105"/>
        <v>191.22303693997824</v>
      </c>
      <c r="I66" s="55">
        <f t="shared" si="106"/>
        <v>83.570987293940249</v>
      </c>
      <c r="J66" s="55">
        <f t="shared" si="107"/>
        <v>274.79402423391844</v>
      </c>
      <c r="L66" t="str">
        <f t="shared" si="140"/>
        <v>72 Customer service occupations</v>
      </c>
      <c r="M66" s="322">
        <f t="shared" si="158"/>
        <v>0.70928409680623961</v>
      </c>
      <c r="N66" s="322">
        <f t="shared" si="158"/>
        <v>0.6996463085073763</v>
      </c>
      <c r="O66" s="322">
        <f t="shared" si="158"/>
        <v>0.74302930190104344</v>
      </c>
      <c r="P66" s="322">
        <f t="shared" si="158"/>
        <v>0.84865607538635413</v>
      </c>
      <c r="Q66" s="322">
        <f t="shared" si="158"/>
        <v>0.9944991505002363</v>
      </c>
      <c r="S66" s="278">
        <f t="shared" si="109"/>
        <v>149.3812756706244</v>
      </c>
      <c r="T66" s="55">
        <f t="shared" si="110"/>
        <v>78.833285842590115</v>
      </c>
      <c r="U66" s="55">
        <f t="shared" si="111"/>
        <v>228.21456151321451</v>
      </c>
      <c r="W66" t="str">
        <f t="shared" si="141"/>
        <v>72 Customer service occupations</v>
      </c>
      <c r="X66" s="322">
        <f t="shared" si="159"/>
        <v>1.507420405611041</v>
      </c>
      <c r="Y66" s="322">
        <f t="shared" si="159"/>
        <v>1.4488634830747493</v>
      </c>
      <c r="Z66" s="322">
        <f t="shared" si="159"/>
        <v>1.5577049579590028</v>
      </c>
      <c r="AA66" s="322">
        <f t="shared" si="159"/>
        <v>1.7107234593404157</v>
      </c>
      <c r="AB66" s="322">
        <f t="shared" si="159"/>
        <v>1.9312658076053955</v>
      </c>
      <c r="AD66" s="278">
        <f t="shared" si="113"/>
        <v>52.941178148091993</v>
      </c>
      <c r="AE66" s="55">
        <f t="shared" si="114"/>
        <v>66.902251335222786</v>
      </c>
      <c r="AF66" s="55">
        <f t="shared" si="115"/>
        <v>119.84342948331476</v>
      </c>
      <c r="AH66" t="str">
        <f t="shared" si="142"/>
        <v>72 Customer service occupations</v>
      </c>
      <c r="AI66" s="322">
        <f t="shared" si="160"/>
        <v>1.3679870431031564</v>
      </c>
      <c r="AJ66" s="322">
        <f t="shared" si="160"/>
        <v>1.4922640440583854</v>
      </c>
      <c r="AK66" s="322">
        <f t="shared" si="160"/>
        <v>1.694134838945472</v>
      </c>
      <c r="AL66" s="322">
        <f t="shared" si="160"/>
        <v>2.0843112682992904</v>
      </c>
      <c r="AM66" s="322">
        <f t="shared" si="160"/>
        <v>2.6328780459623453</v>
      </c>
      <c r="AO66" s="278">
        <f t="shared" si="117"/>
        <v>63.983922190997276</v>
      </c>
      <c r="AP66" s="55">
        <f t="shared" si="118"/>
        <v>69.510993031676733</v>
      </c>
      <c r="AQ66" s="55">
        <f t="shared" si="119"/>
        <v>133.494915222674</v>
      </c>
      <c r="AS66" t="str">
        <f t="shared" si="143"/>
        <v>72 Customer service occupations</v>
      </c>
      <c r="AT66" s="322">
        <f t="shared" si="161"/>
        <v>2.8108107567413763</v>
      </c>
      <c r="AU66" s="322">
        <f t="shared" si="161"/>
        <v>2.5413562865185755</v>
      </c>
      <c r="AV66" s="322">
        <f t="shared" si="161"/>
        <v>2.5884751772625703</v>
      </c>
      <c r="AW66" s="322">
        <f t="shared" si="161"/>
        <v>3.0008356946209926</v>
      </c>
      <c r="AX66" s="322">
        <f t="shared" si="161"/>
        <v>3.087851422399202</v>
      </c>
      <c r="AZ66" s="278">
        <f t="shared" si="121"/>
        <v>40.509256304848776</v>
      </c>
      <c r="BA66" s="55">
        <f t="shared" si="122"/>
        <v>57.395012514384071</v>
      </c>
      <c r="BB66" s="55">
        <f t="shared" si="123"/>
        <v>97.90426881923284</v>
      </c>
      <c r="BD66" t="str">
        <f t="shared" si="144"/>
        <v>72 Customer service occupations</v>
      </c>
      <c r="BE66" s="322">
        <f t="shared" si="162"/>
        <v>2.1342638401490421</v>
      </c>
      <c r="BF66" s="322">
        <f t="shared" si="162"/>
        <v>1.9964440980293645</v>
      </c>
      <c r="BG66" s="322">
        <f t="shared" si="162"/>
        <v>2.1181667840161329</v>
      </c>
      <c r="BH66" s="322">
        <f t="shared" si="162"/>
        <v>2.3037891661051582</v>
      </c>
      <c r="BI66" s="322">
        <f t="shared" si="162"/>
        <v>2.4988101379492775</v>
      </c>
      <c r="BK66" s="278">
        <f t="shared" si="125"/>
        <v>24.585096540581642</v>
      </c>
      <c r="BL66" s="55">
        <f t="shared" si="126"/>
        <v>48.085856942353161</v>
      </c>
      <c r="BM66" s="55">
        <f t="shared" si="127"/>
        <v>72.670953482934792</v>
      </c>
      <c r="BO66" t="str">
        <f t="shared" si="145"/>
        <v>72 Customer service occupations</v>
      </c>
      <c r="BP66" s="322">
        <f t="shared" si="163"/>
        <v>2.1812202191239249</v>
      </c>
      <c r="BQ66" s="322">
        <f t="shared" si="163"/>
        <v>2.1650870790997483</v>
      </c>
      <c r="BR66" s="322">
        <f t="shared" si="163"/>
        <v>2.2279453768428232</v>
      </c>
      <c r="BS66" s="322">
        <f t="shared" si="163"/>
        <v>2.3771133853313642</v>
      </c>
      <c r="BT66" s="322">
        <f t="shared" si="163"/>
        <v>2.5676962113437773</v>
      </c>
      <c r="BV66" s="278">
        <f t="shared" si="129"/>
        <v>6.2901932649460974</v>
      </c>
      <c r="BW66" s="55">
        <f t="shared" si="130"/>
        <v>52.573764525552789</v>
      </c>
      <c r="BX66" s="55">
        <f t="shared" si="131"/>
        <v>58.863957790498887</v>
      </c>
      <c r="BZ66" t="str">
        <f t="shared" si="146"/>
        <v>72 Customer service occupations</v>
      </c>
      <c r="CA66" s="322">
        <f t="shared" si="164"/>
        <v>1.7800037320980275</v>
      </c>
      <c r="CB66" s="322">
        <f t="shared" si="164"/>
        <v>1.6765811907473556</v>
      </c>
      <c r="CC66" s="322">
        <f t="shared" si="164"/>
        <v>1.8085821491384004</v>
      </c>
      <c r="CD66" s="322">
        <f t="shared" si="164"/>
        <v>1.9277494299574764</v>
      </c>
      <c r="CE66" s="322">
        <f t="shared" si="164"/>
        <v>2.555793454314681</v>
      </c>
      <c r="CG66" s="278">
        <f t="shared" si="133"/>
        <v>-24.84539145645266</v>
      </c>
      <c r="CH66" s="55">
        <f t="shared" si="134"/>
        <v>29.399905572849605</v>
      </c>
      <c r="CI66" s="55">
        <f t="shared" si="135"/>
        <v>4.5545141163969429</v>
      </c>
      <c r="CK66" t="str">
        <f t="shared" si="147"/>
        <v>72 Customer service occupations</v>
      </c>
      <c r="CL66" s="322">
        <f t="shared" si="165"/>
        <v>1.2533756644153222</v>
      </c>
      <c r="CM66" s="322">
        <f t="shared" si="165"/>
        <v>1.5648361876692405</v>
      </c>
      <c r="CN66" s="322">
        <f t="shared" si="165"/>
        <v>1.9043151751756531</v>
      </c>
      <c r="CO66" s="322">
        <f t="shared" si="165"/>
        <v>2.57665053247662</v>
      </c>
      <c r="CP66" s="322">
        <f t="shared" si="165"/>
        <v>3.6128462270539563</v>
      </c>
      <c r="CR66" s="278">
        <f t="shared" si="137"/>
        <v>-27.491255824041776</v>
      </c>
      <c r="CS66" s="55">
        <f t="shared" si="138"/>
        <v>27.559961128639443</v>
      </c>
      <c r="CT66" s="55">
        <f t="shared" si="139"/>
        <v>6.8705304597665953E-2</v>
      </c>
    </row>
    <row r="67" spans="1:98">
      <c r="A67" t="str">
        <f t="shared" si="103"/>
        <v>81 Process, plant and machine operatives</v>
      </c>
      <c r="B67" s="322">
        <f t="shared" si="157"/>
        <v>0.48408942327986892</v>
      </c>
      <c r="C67" s="322">
        <f t="shared" si="157"/>
        <v>0.48476278433044345</v>
      </c>
      <c r="D67" s="322">
        <f t="shared" si="157"/>
        <v>0.43904850396097722</v>
      </c>
      <c r="E67" s="322">
        <f t="shared" si="157"/>
        <v>0.52926125158422899</v>
      </c>
      <c r="F67" s="322">
        <f t="shared" si="157"/>
        <v>0.79485146383272665</v>
      </c>
      <c r="H67" s="278">
        <f t="shared" si="105"/>
        <v>244.04170861312457</v>
      </c>
      <c r="I67" s="55">
        <f t="shared" si="106"/>
        <v>113.94436782543822</v>
      </c>
      <c r="J67" s="55">
        <f t="shared" si="107"/>
        <v>357.9860764385628</v>
      </c>
      <c r="L67" t="str">
        <f t="shared" si="140"/>
        <v>81 Process, plant and machine operatives</v>
      </c>
      <c r="M67" s="322">
        <f t="shared" si="158"/>
        <v>0.53567886524131192</v>
      </c>
      <c r="N67" s="322">
        <f t="shared" si="158"/>
        <v>0.5308217325258584</v>
      </c>
      <c r="O67" s="322">
        <f t="shared" si="158"/>
        <v>0.44557901841015052</v>
      </c>
      <c r="P67" s="322">
        <f t="shared" si="158"/>
        <v>0.58909403354242884</v>
      </c>
      <c r="Q67" s="322">
        <f t="shared" si="158"/>
        <v>0.74940164140053744</v>
      </c>
      <c r="S67" s="278">
        <f t="shared" si="109"/>
        <v>213.36845330885046</v>
      </c>
      <c r="T67" s="55">
        <f t="shared" si="110"/>
        <v>97.124732133123331</v>
      </c>
      <c r="U67" s="55">
        <f t="shared" si="111"/>
        <v>310.49318544197376</v>
      </c>
      <c r="W67" t="str">
        <f t="shared" si="141"/>
        <v>81 Process, plant and machine operatives</v>
      </c>
      <c r="X67" s="322">
        <f t="shared" si="159"/>
        <v>0.77165002385628245</v>
      </c>
      <c r="Y67" s="322">
        <f t="shared" si="159"/>
        <v>0.76611509390561505</v>
      </c>
      <c r="Z67" s="322">
        <f t="shared" si="159"/>
        <v>0.65868962477772941</v>
      </c>
      <c r="AA67" s="322">
        <f t="shared" si="159"/>
        <v>0.9199624502391196</v>
      </c>
      <c r="AB67" s="322">
        <f t="shared" si="159"/>
        <v>1.331355460906426</v>
      </c>
      <c r="AD67" s="278">
        <f t="shared" si="113"/>
        <v>149.33358599543084</v>
      </c>
      <c r="AE67" s="55">
        <f t="shared" si="114"/>
        <v>97.545438905540578</v>
      </c>
      <c r="AF67" s="55">
        <f t="shared" si="115"/>
        <v>246.87902490097139</v>
      </c>
      <c r="AH67" t="str">
        <f t="shared" si="142"/>
        <v>81 Process, plant and machine operatives</v>
      </c>
      <c r="AI67" s="322">
        <f t="shared" si="160"/>
        <v>1.1009454578174209</v>
      </c>
      <c r="AJ67" s="322">
        <f t="shared" si="160"/>
        <v>1.1623356031282421</v>
      </c>
      <c r="AK67" s="322">
        <f t="shared" si="160"/>
        <v>0.99413791757365089</v>
      </c>
      <c r="AL67" s="322">
        <f t="shared" si="160"/>
        <v>1.2846019104178921</v>
      </c>
      <c r="AM67" s="322">
        <f t="shared" si="160"/>
        <v>1.4997349940679967</v>
      </c>
      <c r="AO67" s="278">
        <f t="shared" si="117"/>
        <v>59.179225285443437</v>
      </c>
      <c r="AP67" s="55">
        <f t="shared" si="118"/>
        <v>62.715632266145526</v>
      </c>
      <c r="AQ67" s="55">
        <f t="shared" si="119"/>
        <v>121.89485755158896</v>
      </c>
      <c r="AS67" t="str">
        <f t="shared" si="143"/>
        <v>81 Process, plant and machine operatives</v>
      </c>
      <c r="AT67" s="322">
        <f t="shared" si="161"/>
        <v>2.9057698552938933</v>
      </c>
      <c r="AU67" s="322">
        <f t="shared" si="161"/>
        <v>2.7686083994625776</v>
      </c>
      <c r="AV67" s="322">
        <f t="shared" si="161"/>
        <v>2.3281275232212666</v>
      </c>
      <c r="AW67" s="322">
        <f t="shared" si="161"/>
        <v>2.7663300707680571</v>
      </c>
      <c r="AX67" s="322">
        <f t="shared" si="161"/>
        <v>3.1193056500852299</v>
      </c>
      <c r="AZ67" s="278">
        <f t="shared" si="121"/>
        <v>57.813339899494146</v>
      </c>
      <c r="BA67" s="55">
        <f t="shared" si="122"/>
        <v>63.769336563401005</v>
      </c>
      <c r="BB67" s="55">
        <f t="shared" si="123"/>
        <v>121.58267646289514</v>
      </c>
      <c r="BD67" t="str">
        <f t="shared" si="144"/>
        <v>81 Process, plant and machine operatives</v>
      </c>
      <c r="BE67" s="322">
        <f t="shared" si="162"/>
        <v>4.5967225429445779</v>
      </c>
      <c r="BF67" s="322">
        <f t="shared" si="162"/>
        <v>4.6195112021718536</v>
      </c>
      <c r="BG67" s="322">
        <f t="shared" si="162"/>
        <v>4.1441106637248728</v>
      </c>
      <c r="BH67" s="322">
        <f t="shared" si="162"/>
        <v>4.7800166239424087</v>
      </c>
      <c r="BI67" s="322">
        <f t="shared" si="162"/>
        <v>5.1536327690581141</v>
      </c>
      <c r="BK67" s="278">
        <f t="shared" si="125"/>
        <v>31.33337711256296</v>
      </c>
      <c r="BL67" s="55">
        <f t="shared" si="126"/>
        <v>45.508799501211186</v>
      </c>
      <c r="BM67" s="55">
        <f t="shared" si="127"/>
        <v>76.842176613774143</v>
      </c>
      <c r="BO67" t="str">
        <f t="shared" si="145"/>
        <v>81 Process, plant and machine operatives</v>
      </c>
      <c r="BP67" s="322">
        <f t="shared" si="163"/>
        <v>5.8135441868453359</v>
      </c>
      <c r="BQ67" s="322">
        <f t="shared" si="163"/>
        <v>5.9123481217782459</v>
      </c>
      <c r="BR67" s="322">
        <f t="shared" si="163"/>
        <v>5.4930835376377285</v>
      </c>
      <c r="BS67" s="322">
        <f t="shared" si="163"/>
        <v>6.2108938839346983</v>
      </c>
      <c r="BT67" s="322">
        <f t="shared" si="163"/>
        <v>6.5463968827309662</v>
      </c>
      <c r="BV67" s="278">
        <f t="shared" si="129"/>
        <v>9.9107630584879036</v>
      </c>
      <c r="BW67" s="55">
        <f t="shared" si="130"/>
        <v>48.116405723023412</v>
      </c>
      <c r="BX67" s="55">
        <f t="shared" si="131"/>
        <v>58.027168781511321</v>
      </c>
      <c r="BZ67" t="str">
        <f t="shared" si="146"/>
        <v>81 Process, plant and machine operatives</v>
      </c>
      <c r="CA67" s="322">
        <f t="shared" si="164"/>
        <v>7.649944935314104</v>
      </c>
      <c r="CB67" s="322">
        <f t="shared" si="164"/>
        <v>7.7245392672645448</v>
      </c>
      <c r="CC67" s="322">
        <f t="shared" si="164"/>
        <v>7.2571758451017976</v>
      </c>
      <c r="CD67" s="322">
        <f t="shared" si="164"/>
        <v>7.7242734502088375</v>
      </c>
      <c r="CE67" s="322">
        <f t="shared" si="164"/>
        <v>5.8173600090044406</v>
      </c>
      <c r="CG67" s="278">
        <f t="shared" si="133"/>
        <v>-57.368913800354008</v>
      </c>
      <c r="CH67" s="55">
        <f t="shared" si="134"/>
        <v>28.280977752590502</v>
      </c>
      <c r="CI67" s="55">
        <f t="shared" si="135"/>
        <v>-29.087936047763503</v>
      </c>
      <c r="CK67" t="str">
        <f t="shared" si="147"/>
        <v>81 Process, plant and machine operatives</v>
      </c>
      <c r="CL67" s="322">
        <f t="shared" si="165"/>
        <v>10.374548304902191</v>
      </c>
      <c r="CM67" s="322">
        <f t="shared" si="165"/>
        <v>8.9150089127256251</v>
      </c>
      <c r="CN67" s="322">
        <f t="shared" si="165"/>
        <v>7.88300725176037</v>
      </c>
      <c r="CO67" s="322">
        <f t="shared" si="165"/>
        <v>4.2358326110800029</v>
      </c>
      <c r="CP67" s="322">
        <f t="shared" si="165"/>
        <v>2.3630505930109278</v>
      </c>
      <c r="CR67" s="278">
        <f t="shared" si="137"/>
        <v>-88.543266038997203</v>
      </c>
      <c r="CS67" s="55">
        <f t="shared" si="138"/>
        <v>8.577524454383747</v>
      </c>
      <c r="CT67" s="55">
        <f t="shared" si="139"/>
        <v>-79.965741584613454</v>
      </c>
    </row>
    <row r="68" spans="1:98">
      <c r="A68" t="str">
        <f t="shared" si="103"/>
        <v>82 Transport and mobile machine drivers and operatives</v>
      </c>
      <c r="B68" s="322">
        <f t="shared" si="157"/>
        <v>0.71979892985788285</v>
      </c>
      <c r="C68" s="322">
        <f t="shared" si="157"/>
        <v>0.82667170524736922</v>
      </c>
      <c r="D68" s="322">
        <f t="shared" si="157"/>
        <v>0.63309537431689888</v>
      </c>
      <c r="E68" s="322">
        <f t="shared" si="157"/>
        <v>0.80365842804801213</v>
      </c>
      <c r="F68" s="322">
        <f t="shared" si="157"/>
        <v>1.0129276604208644</v>
      </c>
      <c r="H68" s="278">
        <f t="shared" si="105"/>
        <v>204.05133139927432</v>
      </c>
      <c r="I68" s="55">
        <f t="shared" si="106"/>
        <v>120.01015780936577</v>
      </c>
      <c r="J68" s="55">
        <f t="shared" si="107"/>
        <v>324.06148920864013</v>
      </c>
      <c r="L68" t="str">
        <f t="shared" si="140"/>
        <v>82 Transport and mobile machine drivers and operatives</v>
      </c>
      <c r="M68" s="322">
        <f t="shared" si="158"/>
        <v>0.67189281847653182</v>
      </c>
      <c r="N68" s="322">
        <f t="shared" si="158"/>
        <v>0.66500219528346938</v>
      </c>
      <c r="O68" s="322">
        <f t="shared" si="158"/>
        <v>0.52556908254147827</v>
      </c>
      <c r="P68" s="322">
        <f t="shared" si="158"/>
        <v>0.63654527575530795</v>
      </c>
      <c r="Q68" s="322">
        <f t="shared" si="158"/>
        <v>0.76468257644827109</v>
      </c>
      <c r="S68" s="278">
        <f t="shared" si="109"/>
        <v>171.09203147083284</v>
      </c>
      <c r="T68" s="55">
        <f t="shared" si="110"/>
        <v>108.28442195295015</v>
      </c>
      <c r="U68" s="55">
        <f t="shared" si="111"/>
        <v>279.376453423783</v>
      </c>
      <c r="W68" t="str">
        <f t="shared" si="141"/>
        <v>82 Transport and mobile machine drivers and operatives</v>
      </c>
      <c r="X68" s="322">
        <f t="shared" si="159"/>
        <v>0.99874833518705264</v>
      </c>
      <c r="Y68" s="322">
        <f t="shared" si="159"/>
        <v>1.1361053783830466</v>
      </c>
      <c r="Z68" s="322">
        <f t="shared" si="159"/>
        <v>1.0045891629481396</v>
      </c>
      <c r="AA68" s="322">
        <f t="shared" si="159"/>
        <v>1.2215720838198272</v>
      </c>
      <c r="AB68" s="322">
        <f t="shared" si="159"/>
        <v>1.519421096645112</v>
      </c>
      <c r="AD68" s="278">
        <f t="shared" si="113"/>
        <v>86.576630359202909</v>
      </c>
      <c r="AE68" s="55">
        <f t="shared" si="114"/>
        <v>95.027772482309331</v>
      </c>
      <c r="AF68" s="55">
        <f t="shared" si="115"/>
        <v>181.60440284151221</v>
      </c>
      <c r="AH68" t="str">
        <f t="shared" si="142"/>
        <v>82 Transport and mobile machine drivers and operatives</v>
      </c>
      <c r="AI68" s="322">
        <f t="shared" si="160"/>
        <v>1.7113773762488702</v>
      </c>
      <c r="AJ68" s="322">
        <f t="shared" si="160"/>
        <v>1.9922144350433306</v>
      </c>
      <c r="AK68" s="322">
        <f t="shared" si="160"/>
        <v>1.6612319141873808</v>
      </c>
      <c r="AL68" s="322">
        <f t="shared" si="160"/>
        <v>2.1168315735686805</v>
      </c>
      <c r="AM68" s="322">
        <f t="shared" si="160"/>
        <v>2.501380310429969</v>
      </c>
      <c r="AO68" s="278">
        <f t="shared" si="117"/>
        <v>58.879535430875549</v>
      </c>
      <c r="AP68" s="55">
        <f t="shared" si="118"/>
        <v>83.476970167495267</v>
      </c>
      <c r="AQ68" s="55">
        <f t="shared" si="119"/>
        <v>142.35650559837083</v>
      </c>
      <c r="AS68" t="str">
        <f t="shared" si="143"/>
        <v>82 Transport and mobile machine drivers and operatives</v>
      </c>
      <c r="AT68" s="322">
        <f t="shared" si="161"/>
        <v>2.8683474192345413</v>
      </c>
      <c r="AU68" s="322">
        <f t="shared" si="161"/>
        <v>3.0516703942165551</v>
      </c>
      <c r="AV68" s="322">
        <f t="shared" si="161"/>
        <v>2.6588357646305205</v>
      </c>
      <c r="AW68" s="322">
        <f t="shared" si="161"/>
        <v>3.0086680753706032</v>
      </c>
      <c r="AX68" s="322">
        <f t="shared" si="161"/>
        <v>3.2573447962503916</v>
      </c>
      <c r="AZ68" s="278">
        <f t="shared" si="121"/>
        <v>44.299479440252206</v>
      </c>
      <c r="BA68" s="55">
        <f t="shared" si="122"/>
        <v>79.97458328567572</v>
      </c>
      <c r="BB68" s="55">
        <f t="shared" si="123"/>
        <v>124.27406272592793</v>
      </c>
      <c r="BD68" t="str">
        <f t="shared" si="144"/>
        <v>82 Transport and mobile machine drivers and operatives</v>
      </c>
      <c r="BE68" s="322">
        <f t="shared" si="162"/>
        <v>3.8692555545856053</v>
      </c>
      <c r="BF68" s="322">
        <f t="shared" si="162"/>
        <v>4.0547357862361171</v>
      </c>
      <c r="BG68" s="322">
        <f t="shared" si="162"/>
        <v>3.8873788306368797</v>
      </c>
      <c r="BH68" s="322">
        <f t="shared" si="162"/>
        <v>4.4312737514342979</v>
      </c>
      <c r="BI68" s="322">
        <f t="shared" si="162"/>
        <v>5.1669568101852361</v>
      </c>
      <c r="BK68" s="278">
        <f t="shared" si="125"/>
        <v>40.368918310203235</v>
      </c>
      <c r="BL68" s="55">
        <f t="shared" si="126"/>
        <v>63.249440173506301</v>
      </c>
      <c r="BM68" s="55">
        <f t="shared" si="127"/>
        <v>103.61835848370953</v>
      </c>
      <c r="BO68" t="str">
        <f t="shared" si="145"/>
        <v>82 Transport and mobile machine drivers and operatives</v>
      </c>
      <c r="BP68" s="322">
        <f t="shared" si="163"/>
        <v>6.3276462953332491</v>
      </c>
      <c r="BQ68" s="322">
        <f t="shared" si="163"/>
        <v>6.8626031018112519</v>
      </c>
      <c r="BR68" s="322">
        <f t="shared" si="163"/>
        <v>6.6020550924002883</v>
      </c>
      <c r="BS68" s="322">
        <f t="shared" si="163"/>
        <v>7.5365881988285421</v>
      </c>
      <c r="BT68" s="322">
        <f t="shared" si="163"/>
        <v>9.019946409367531</v>
      </c>
      <c r="BV68" s="278">
        <f t="shared" si="129"/>
        <v>26.002426460394208</v>
      </c>
      <c r="BW68" s="55">
        <f t="shared" si="130"/>
        <v>68.518925681874748</v>
      </c>
      <c r="BX68" s="55">
        <f t="shared" si="131"/>
        <v>94.521352142268967</v>
      </c>
      <c r="BZ68" t="str">
        <f t="shared" si="146"/>
        <v>82 Transport and mobile machine drivers and operatives</v>
      </c>
      <c r="CA68" s="322">
        <f t="shared" si="164"/>
        <v>8.9333286343988405</v>
      </c>
      <c r="CB68" s="322">
        <f t="shared" si="164"/>
        <v>8.9725277607300633</v>
      </c>
      <c r="CC68" s="322">
        <f t="shared" si="164"/>
        <v>8.8639172973001834</v>
      </c>
      <c r="CD68" s="322">
        <f t="shared" si="164"/>
        <v>9.1732610923968068</v>
      </c>
      <c r="CE68" s="322">
        <f t="shared" si="164"/>
        <v>11.115031303222132</v>
      </c>
      <c r="CG68" s="278">
        <f t="shared" si="133"/>
        <v>-33.311169971509102</v>
      </c>
      <c r="CH68" s="55">
        <f t="shared" si="134"/>
        <v>38.485197792218344</v>
      </c>
      <c r="CI68" s="55">
        <f t="shared" si="135"/>
        <v>5.1740278207092398</v>
      </c>
      <c r="CK68" t="str">
        <f t="shared" si="147"/>
        <v>82 Transport and mobile machine drivers and operatives</v>
      </c>
      <c r="CL68" s="322">
        <f t="shared" si="165"/>
        <v>10.151529425600957</v>
      </c>
      <c r="CM68" s="322">
        <f t="shared" si="165"/>
        <v>12.418734266284071</v>
      </c>
      <c r="CN68" s="322">
        <f t="shared" si="165"/>
        <v>11.517863566138374</v>
      </c>
      <c r="CO68" s="322">
        <f t="shared" si="165"/>
        <v>11.040485745052528</v>
      </c>
      <c r="CP68" s="322">
        <f t="shared" si="165"/>
        <v>7.4032473742576181</v>
      </c>
      <c r="CR68" s="278">
        <f t="shared" si="137"/>
        <v>-75.434247845885864</v>
      </c>
      <c r="CS68" s="55">
        <f t="shared" si="138"/>
        <v>21.229650055321368</v>
      </c>
      <c r="CT68" s="55">
        <f t="shared" si="139"/>
        <v>-54.204597790564478</v>
      </c>
    </row>
    <row r="69" spans="1:98">
      <c r="A69" t="str">
        <f t="shared" si="103"/>
        <v>91 Elementary trades and related occupations</v>
      </c>
      <c r="B69" s="322">
        <f t="shared" si="157"/>
        <v>7.0828032778661862E-3</v>
      </c>
      <c r="C69" s="322">
        <f t="shared" si="157"/>
        <v>4.9753146538564713E-3</v>
      </c>
      <c r="D69" s="322">
        <f t="shared" si="157"/>
        <v>4.0631190999671565E-3</v>
      </c>
      <c r="E69" s="322">
        <f t="shared" si="157"/>
        <v>1.7619177626521633E-2</v>
      </c>
      <c r="F69" s="322">
        <f t="shared" si="157"/>
        <v>3.2581734221113955E-2</v>
      </c>
      <c r="H69" s="278">
        <f t="shared" si="105"/>
        <v>1423.885241551176</v>
      </c>
      <c r="I69" s="55">
        <f t="shared" si="106"/>
        <v>563.68429243351648</v>
      </c>
      <c r="J69" s="55">
        <f t="shared" si="107"/>
        <v>1987.5695339846925</v>
      </c>
      <c r="L69" t="str">
        <f t="shared" si="140"/>
        <v>91 Elementary trades and related occupations</v>
      </c>
      <c r="M69" s="322">
        <f t="shared" si="158"/>
        <v>0.27622357263034936</v>
      </c>
      <c r="N69" s="322">
        <f t="shared" si="158"/>
        <v>0.24488905084560034</v>
      </c>
      <c r="O69" s="322">
        <f t="shared" si="158"/>
        <v>0.17184541518429053</v>
      </c>
      <c r="P69" s="322">
        <f t="shared" si="158"/>
        <v>0.37351548683034352</v>
      </c>
      <c r="Q69" s="322">
        <f t="shared" si="158"/>
        <v>0.62895895091044707</v>
      </c>
      <c r="S69" s="278">
        <f t="shared" si="109"/>
        <v>581.94558002858878</v>
      </c>
      <c r="T69" s="55">
        <f t="shared" si="110"/>
        <v>236.49003186315886</v>
      </c>
      <c r="U69" s="55">
        <f t="shared" si="111"/>
        <v>818.43561189174761</v>
      </c>
      <c r="W69" t="str">
        <f t="shared" si="141"/>
        <v>91 Elementary trades and related occupations</v>
      </c>
      <c r="X69" s="322">
        <f t="shared" si="159"/>
        <v>0.46894975667567246</v>
      </c>
      <c r="Y69" s="322">
        <f t="shared" si="159"/>
        <v>0.38361969294709697</v>
      </c>
      <c r="Z69" s="322">
        <f t="shared" si="159"/>
        <v>0.31909536075396433</v>
      </c>
      <c r="AA69" s="322">
        <f t="shared" si="159"/>
        <v>0.91365725452080182</v>
      </c>
      <c r="AB69" s="322">
        <f t="shared" si="159"/>
        <v>1.2740903851059593</v>
      </c>
      <c r="AD69" s="278">
        <f t="shared" si="113"/>
        <v>392.54660532369667</v>
      </c>
      <c r="AE69" s="55">
        <f t="shared" si="114"/>
        <v>256.01845326653489</v>
      </c>
      <c r="AF69" s="55">
        <f t="shared" si="115"/>
        <v>648.56505859023162</v>
      </c>
      <c r="AH69" t="str">
        <f t="shared" si="142"/>
        <v>91 Elementary trades and related occupations</v>
      </c>
      <c r="AI69" s="322">
        <f t="shared" si="160"/>
        <v>1.0116511596113866</v>
      </c>
      <c r="AJ69" s="322">
        <f t="shared" si="160"/>
        <v>0.90478492328650051</v>
      </c>
      <c r="AK69" s="322">
        <f t="shared" si="160"/>
        <v>0.73650904501677705</v>
      </c>
      <c r="AL69" s="322">
        <f t="shared" si="160"/>
        <v>2.0997153473431958</v>
      </c>
      <c r="AM69" s="322">
        <f t="shared" si="160"/>
        <v>3.0064705349510499</v>
      </c>
      <c r="AO69" s="278">
        <f t="shared" si="117"/>
        <v>330.72230985390723</v>
      </c>
      <c r="AP69" s="55">
        <f t="shared" si="118"/>
        <v>228.39571206114425</v>
      </c>
      <c r="AQ69" s="55">
        <f t="shared" si="119"/>
        <v>559.11802191505137</v>
      </c>
      <c r="AS69" t="str">
        <f t="shared" si="143"/>
        <v>91 Elementary trades and related occupations</v>
      </c>
      <c r="AT69" s="322">
        <f t="shared" si="161"/>
        <v>1.1001427174808256</v>
      </c>
      <c r="AU69" s="322">
        <f t="shared" si="161"/>
        <v>0.9784712448508206</v>
      </c>
      <c r="AV69" s="322">
        <f t="shared" si="161"/>
        <v>0.88713054808415159</v>
      </c>
      <c r="AW69" s="322">
        <f t="shared" si="161"/>
        <v>2.428352765027006</v>
      </c>
      <c r="AX69" s="322">
        <f t="shared" si="161"/>
        <v>3.1861414227727662</v>
      </c>
      <c r="AZ69" s="278">
        <f t="shared" si="121"/>
        <v>323.02892039758746</v>
      </c>
      <c r="BA69" s="55">
        <f t="shared" si="122"/>
        <v>207.70937486852154</v>
      </c>
      <c r="BB69" s="55">
        <f t="shared" si="123"/>
        <v>530.73829526610905</v>
      </c>
      <c r="BD69" t="str">
        <f t="shared" si="144"/>
        <v>91 Elementary trades and related occupations</v>
      </c>
      <c r="BE69" s="322">
        <f t="shared" si="162"/>
        <v>1.3612906212318843</v>
      </c>
      <c r="BF69" s="322">
        <f t="shared" si="162"/>
        <v>1.2140226934744935</v>
      </c>
      <c r="BG69" s="322">
        <f t="shared" si="162"/>
        <v>1.0889582793310755</v>
      </c>
      <c r="BH69" s="322">
        <f t="shared" si="162"/>
        <v>1.9967229843747645</v>
      </c>
      <c r="BI69" s="322">
        <f t="shared" si="162"/>
        <v>2.6147927255074745</v>
      </c>
      <c r="BK69" s="278">
        <f t="shared" si="125"/>
        <v>153.58234523760342</v>
      </c>
      <c r="BL69" s="55">
        <f t="shared" si="126"/>
        <v>89.716069706984328</v>
      </c>
      <c r="BM69" s="55">
        <f t="shared" si="127"/>
        <v>243.29841494458773</v>
      </c>
      <c r="BO69" t="str">
        <f t="shared" si="145"/>
        <v>91 Elementary trades and related occupations</v>
      </c>
      <c r="BP69" s="322">
        <f t="shared" si="163"/>
        <v>2.3967427778330439</v>
      </c>
      <c r="BQ69" s="322">
        <f t="shared" si="163"/>
        <v>2.1474546502783269</v>
      </c>
      <c r="BR69" s="322">
        <f t="shared" si="163"/>
        <v>2.0777672424690072</v>
      </c>
      <c r="BS69" s="322">
        <f t="shared" si="163"/>
        <v>3.7386794294320138</v>
      </c>
      <c r="BT69" s="322">
        <f t="shared" si="163"/>
        <v>4.8342801514562215</v>
      </c>
      <c r="BV69" s="278">
        <f t="shared" si="129"/>
        <v>114.5798883265724</v>
      </c>
      <c r="BW69" s="55">
        <f t="shared" si="130"/>
        <v>81.397879759404105</v>
      </c>
      <c r="BX69" s="55">
        <f t="shared" si="131"/>
        <v>195.97776808597652</v>
      </c>
      <c r="BZ69" t="str">
        <f t="shared" si="146"/>
        <v>91 Elementary trades and related occupations</v>
      </c>
      <c r="CA69" s="322">
        <f t="shared" si="164"/>
        <v>4.935271974182629</v>
      </c>
      <c r="CB69" s="322">
        <f t="shared" si="164"/>
        <v>4.7106552305870464</v>
      </c>
      <c r="CC69" s="322">
        <f t="shared" si="164"/>
        <v>4.4431802641548037</v>
      </c>
      <c r="CD69" s="322">
        <f t="shared" si="164"/>
        <v>8.054884599933807</v>
      </c>
      <c r="CE69" s="322">
        <f t="shared" si="164"/>
        <v>10.88025414676067</v>
      </c>
      <c r="CG69" s="278">
        <f t="shared" si="133"/>
        <v>30.23065058194188</v>
      </c>
      <c r="CH69" s="55">
        <f t="shared" si="134"/>
        <v>62.326455380345479</v>
      </c>
      <c r="CI69" s="55">
        <f t="shared" si="135"/>
        <v>92.557105962287352</v>
      </c>
      <c r="CK69" t="str">
        <f t="shared" si="147"/>
        <v>91 Elementary trades and related occupations</v>
      </c>
      <c r="CL69" s="322">
        <f t="shared" si="165"/>
        <v>6.6066630010191112</v>
      </c>
      <c r="CM69" s="322">
        <f t="shared" si="165"/>
        <v>6.2549260272623739</v>
      </c>
      <c r="CN69" s="322">
        <f t="shared" si="165"/>
        <v>6.0306788521721746</v>
      </c>
      <c r="CO69" s="322">
        <f t="shared" si="165"/>
        <v>11.951979196219137</v>
      </c>
      <c r="CP69" s="322">
        <f t="shared" si="165"/>
        <v>15.059021891902038</v>
      </c>
      <c r="CR69" s="278">
        <f t="shared" si="137"/>
        <v>-4.5644243968314475</v>
      </c>
      <c r="CS69" s="55">
        <f t="shared" si="138"/>
        <v>41.013157706380952</v>
      </c>
      <c r="CT69" s="55">
        <f t="shared" si="139"/>
        <v>36.448733309549503</v>
      </c>
    </row>
    <row r="70" spans="1:98">
      <c r="A70" t="str">
        <f t="shared" si="103"/>
        <v>92 Elementary administration and service occupations</v>
      </c>
      <c r="B70" s="322">
        <f t="shared" si="157"/>
        <v>0.49776333884795199</v>
      </c>
      <c r="C70" s="322">
        <f t="shared" si="157"/>
        <v>0.4706840633666376</v>
      </c>
      <c r="D70" s="322">
        <f t="shared" si="157"/>
        <v>0.42612603239011437</v>
      </c>
      <c r="E70" s="322">
        <f t="shared" si="157"/>
        <v>0.42566342037266014</v>
      </c>
      <c r="F70" s="322">
        <f t="shared" si="157"/>
        <v>0.46765537918856326</v>
      </c>
      <c r="H70" s="278">
        <f t="shared" si="105"/>
        <v>108.55734373082883</v>
      </c>
      <c r="I70" s="55">
        <f t="shared" si="106"/>
        <v>79.190910910453411</v>
      </c>
      <c r="J70" s="55">
        <f t="shared" si="107"/>
        <v>187.74825464128224</v>
      </c>
      <c r="L70" t="str">
        <f t="shared" ref="L70" si="166">A70</f>
        <v>92 Elementary administration and service occupations</v>
      </c>
      <c r="M70" s="322">
        <f t="shared" si="158"/>
        <v>1.6601485633352859</v>
      </c>
      <c r="N70" s="322">
        <f t="shared" si="158"/>
        <v>1.6207307911163111</v>
      </c>
      <c r="O70" s="322">
        <f t="shared" si="158"/>
        <v>1.5383385382590746</v>
      </c>
      <c r="P70" s="322">
        <f t="shared" si="158"/>
        <v>1.6232448514654212</v>
      </c>
      <c r="Q70" s="322">
        <f t="shared" si="158"/>
        <v>2.0234858196626444</v>
      </c>
      <c r="S70" s="278">
        <f t="shared" si="109"/>
        <v>145.08323922204588</v>
      </c>
      <c r="T70" s="55">
        <f t="shared" si="110"/>
        <v>89.841558870399481</v>
      </c>
      <c r="U70" s="55">
        <f t="shared" si="111"/>
        <v>234.92479809244534</v>
      </c>
      <c r="W70" t="str">
        <f t="shared" ref="W70" si="167">A70</f>
        <v>92 Elementary administration and service occupations</v>
      </c>
      <c r="X70" s="322">
        <f t="shared" si="159"/>
        <v>2.8891357948637277</v>
      </c>
      <c r="Y70" s="322">
        <f t="shared" si="159"/>
        <v>2.9294323904415558</v>
      </c>
      <c r="Z70" s="322">
        <f t="shared" si="159"/>
        <v>2.9014946556217036</v>
      </c>
      <c r="AA70" s="322">
        <f t="shared" si="159"/>
        <v>2.9048114066874939</v>
      </c>
      <c r="AB70" s="322">
        <f t="shared" si="159"/>
        <v>3.0845064522885237</v>
      </c>
      <c r="AD70" s="278">
        <f t="shared" si="113"/>
        <v>31.138886010075733</v>
      </c>
      <c r="AE70" s="55">
        <f t="shared" si="114"/>
        <v>74.508498535460419</v>
      </c>
      <c r="AF70" s="55">
        <f t="shared" si="115"/>
        <v>105.64738454553616</v>
      </c>
      <c r="AH70" t="str">
        <f t="shared" ref="AH70" si="168">L70</f>
        <v>92 Elementary administration and service occupations</v>
      </c>
      <c r="AI70" s="322">
        <f t="shared" si="160"/>
        <v>4.3389515394085514</v>
      </c>
      <c r="AJ70" s="322">
        <f t="shared" si="160"/>
        <v>4.5680066346327397</v>
      </c>
      <c r="AK70" s="322">
        <f t="shared" si="160"/>
        <v>4.5075829103134915</v>
      </c>
      <c r="AL70" s="322">
        <f t="shared" si="160"/>
        <v>4.8408712615222536</v>
      </c>
      <c r="AM70" s="322">
        <f t="shared" si="160"/>
        <v>5.798364456351</v>
      </c>
      <c r="AO70" s="278">
        <f t="shared" si="117"/>
        <v>35.731386639621547</v>
      </c>
      <c r="AP70" s="55">
        <f t="shared" si="118"/>
        <v>69.144270859616142</v>
      </c>
      <c r="AQ70" s="55">
        <f t="shared" si="119"/>
        <v>104.8756574992377</v>
      </c>
      <c r="AS70" t="str">
        <f t="shared" ref="AS70" si="169">W70</f>
        <v>92 Elementary administration and service occupations</v>
      </c>
      <c r="AT70" s="322">
        <f t="shared" si="161"/>
        <v>4.2180596088326627</v>
      </c>
      <c r="AU70" s="322">
        <f t="shared" si="161"/>
        <v>4.3702002237844857</v>
      </c>
      <c r="AV70" s="322">
        <f t="shared" si="161"/>
        <v>4.4292431757108357</v>
      </c>
      <c r="AW70" s="322">
        <f t="shared" si="161"/>
        <v>4.388488613423835</v>
      </c>
      <c r="AX70" s="322">
        <f t="shared" si="161"/>
        <v>4.8801392306989353</v>
      </c>
      <c r="AZ70" s="278">
        <f t="shared" si="121"/>
        <v>29.776253481039067</v>
      </c>
      <c r="BA70" s="55">
        <f t="shared" si="122"/>
        <v>68.711791095996404</v>
      </c>
      <c r="BB70" s="55">
        <f t="shared" si="123"/>
        <v>98.488044577035467</v>
      </c>
      <c r="BD70" t="str">
        <f t="shared" ref="BD70" si="170">AH70</f>
        <v>92 Elementary administration and service occupations</v>
      </c>
      <c r="BE70" s="322">
        <f t="shared" si="162"/>
        <v>6.7767049153596535</v>
      </c>
      <c r="BF70" s="322">
        <f t="shared" si="162"/>
        <v>6.0937913059714539</v>
      </c>
      <c r="BG70" s="322">
        <f t="shared" si="162"/>
        <v>5.9272400777644929</v>
      </c>
      <c r="BH70" s="322">
        <f t="shared" si="162"/>
        <v>5.0787785633488367</v>
      </c>
      <c r="BI70" s="322">
        <f t="shared" si="162"/>
        <v>4.4837276437742029</v>
      </c>
      <c r="BK70" s="278">
        <f t="shared" si="125"/>
        <v>-20.112341331958291</v>
      </c>
      <c r="BL70" s="55">
        <f t="shared" si="126"/>
        <v>41.723675889238017</v>
      </c>
      <c r="BM70" s="55">
        <f t="shared" si="127"/>
        <v>21.611334557279722</v>
      </c>
      <c r="BO70" t="str">
        <f t="shared" ref="BO70" si="171">AS70</f>
        <v>92 Elementary administration and service occupations</v>
      </c>
      <c r="BP70" s="322">
        <f t="shared" si="163"/>
        <v>11.402865963589438</v>
      </c>
      <c r="BQ70" s="322">
        <f t="shared" si="163"/>
        <v>11.46368999297084</v>
      </c>
      <c r="BR70" s="322">
        <f t="shared" si="163"/>
        <v>10.89937175099409</v>
      </c>
      <c r="BS70" s="322">
        <f t="shared" si="163"/>
        <v>10.390211761194065</v>
      </c>
      <c r="BT70" s="322">
        <f t="shared" si="163"/>
        <v>10.647020961689559</v>
      </c>
      <c r="BV70" s="278">
        <f t="shared" si="129"/>
        <v>-9.9091387130505701</v>
      </c>
      <c r="BW70" s="55">
        <f t="shared" si="130"/>
        <v>48.695332292674593</v>
      </c>
      <c r="BX70" s="55">
        <f t="shared" si="131"/>
        <v>38.786193579624026</v>
      </c>
      <c r="BZ70" t="str">
        <f t="shared" ref="BZ70" si="172">BD70</f>
        <v>92 Elementary administration and service occupations</v>
      </c>
      <c r="CA70" s="322">
        <f t="shared" si="164"/>
        <v>15.895572154887072</v>
      </c>
      <c r="CB70" s="322">
        <f t="shared" si="164"/>
        <v>16.275546843847991</v>
      </c>
      <c r="CC70" s="322">
        <f t="shared" si="164"/>
        <v>15.380153119351142</v>
      </c>
      <c r="CD70" s="322">
        <f t="shared" si="164"/>
        <v>14.476918271154648</v>
      </c>
      <c r="CE70" s="322">
        <f t="shared" si="164"/>
        <v>14.850858990320178</v>
      </c>
      <c r="CG70" s="278">
        <f t="shared" si="133"/>
        <v>-48.647804174710473</v>
      </c>
      <c r="CH70" s="55">
        <f t="shared" si="134"/>
        <v>29.914426495563568</v>
      </c>
      <c r="CI70" s="55">
        <f t="shared" si="135"/>
        <v>-18.733377679146905</v>
      </c>
      <c r="CK70" t="str">
        <f t="shared" ref="CK70" si="173">BO70</f>
        <v>92 Elementary administration and service occupations</v>
      </c>
      <c r="CL70" s="322">
        <f t="shared" si="165"/>
        <v>21.312687163168224</v>
      </c>
      <c r="CM70" s="322">
        <f t="shared" si="165"/>
        <v>17.730294766698428</v>
      </c>
      <c r="CN70" s="322">
        <f t="shared" si="165"/>
        <v>17.639469920661888</v>
      </c>
      <c r="CO70" s="322">
        <f t="shared" si="165"/>
        <v>14.628252513410603</v>
      </c>
      <c r="CP70" s="322">
        <f t="shared" si="165"/>
        <v>12.164837896724814</v>
      </c>
      <c r="CR70" s="278">
        <f t="shared" si="137"/>
        <v>-73.642723628353664</v>
      </c>
      <c r="CS70" s="55">
        <f t="shared" si="138"/>
        <v>14.29395849820588</v>
      </c>
      <c r="CT70" s="55">
        <f t="shared" si="139"/>
        <v>-59.348765130147783</v>
      </c>
    </row>
    <row r="71" spans="1:98">
      <c r="B71" s="322"/>
      <c r="C71" s="322"/>
      <c r="D71" s="322"/>
      <c r="E71" s="322"/>
      <c r="F71" s="322"/>
      <c r="H71" s="278"/>
      <c r="I71" s="55"/>
      <c r="J71" s="55"/>
      <c r="M71" s="322"/>
      <c r="N71" s="322"/>
      <c r="O71" s="322"/>
      <c r="P71" s="322"/>
      <c r="Q71" s="322"/>
      <c r="S71" s="278"/>
      <c r="T71" s="55"/>
      <c r="U71" s="55"/>
      <c r="X71" s="322"/>
      <c r="Y71" s="322"/>
      <c r="Z71" s="322"/>
      <c r="AA71" s="322"/>
      <c r="AB71" s="322"/>
      <c r="AD71" s="278"/>
      <c r="AE71" s="55"/>
      <c r="AF71" s="55"/>
      <c r="AI71" s="322"/>
      <c r="AJ71" s="322"/>
      <c r="AK71" s="322"/>
      <c r="AL71" s="322"/>
      <c r="AM71" s="322"/>
      <c r="AO71" s="278"/>
      <c r="AP71" s="55"/>
      <c r="AQ71" s="55"/>
      <c r="AT71" s="322"/>
      <c r="AU71" s="322"/>
      <c r="AV71" s="322"/>
      <c r="AW71" s="322"/>
      <c r="AX71" s="322"/>
      <c r="AZ71" s="278"/>
      <c r="BA71" s="55"/>
      <c r="BB71" s="55"/>
      <c r="BE71" s="322"/>
      <c r="BF71" s="322"/>
      <c r="BG71" s="322"/>
      <c r="BH71" s="322"/>
      <c r="BI71" s="322"/>
      <c r="BK71" s="278"/>
      <c r="BL71" s="55"/>
      <c r="BM71" s="55"/>
      <c r="BP71" s="322"/>
      <c r="BQ71" s="322"/>
      <c r="BR71" s="322"/>
      <c r="BS71" s="322"/>
      <c r="BT71" s="322"/>
      <c r="BV71" s="278"/>
      <c r="BW71" s="55"/>
      <c r="BX71" s="55"/>
      <c r="CA71" s="322"/>
      <c r="CB71" s="322"/>
      <c r="CC71" s="322"/>
      <c r="CD71" s="322"/>
      <c r="CE71" s="322"/>
      <c r="CG71" s="278"/>
      <c r="CH71" s="55"/>
      <c r="CI71" s="55"/>
      <c r="CL71" s="322"/>
      <c r="CM71" s="322"/>
      <c r="CN71" s="322"/>
      <c r="CO71" s="322"/>
      <c r="CP71" s="322"/>
      <c r="CR71" s="278"/>
      <c r="CS71" s="55"/>
      <c r="CT71" s="55"/>
    </row>
    <row r="72" spans="1:98">
      <c r="A72" s="22" t="str">
        <f>A35</f>
        <v>All occupations</v>
      </c>
      <c r="B72" s="361">
        <f>B35/B$35*100</f>
        <v>100</v>
      </c>
      <c r="C72" s="361">
        <f>C35/C$35*100</f>
        <v>100</v>
      </c>
      <c r="D72" s="361">
        <f>D35/D$35*100</f>
        <v>100</v>
      </c>
      <c r="E72" s="361">
        <f>E35/E$35*100</f>
        <v>100</v>
      </c>
      <c r="F72" s="361">
        <f>F35/F$35*100</f>
        <v>100</v>
      </c>
      <c r="H72" s="369">
        <f t="shared" ref="H72" si="174">IF(D35&gt;0,(H35/D35)*100,0)</f>
        <v>90.036760753275644</v>
      </c>
      <c r="I72" s="54">
        <f>IF(D35&gt;0,I35/D35*100,0)</f>
        <v>67.618242738492313</v>
      </c>
      <c r="J72" s="54">
        <f t="shared" ref="J72" si="175">IF(D35&gt;0,(J35/D35)*100,0)</f>
        <v>157.65500349176799</v>
      </c>
      <c r="L72" s="22" t="str">
        <f>L35</f>
        <v>All occupations</v>
      </c>
      <c r="M72" s="361">
        <f>M35/M$35*100</f>
        <v>100</v>
      </c>
      <c r="N72" s="361">
        <f>N35/N$35*100</f>
        <v>100</v>
      </c>
      <c r="O72" s="361">
        <f>O35/O$35*100</f>
        <v>100</v>
      </c>
      <c r="P72" s="361">
        <f>P35/P$35*100</f>
        <v>100</v>
      </c>
      <c r="Q72" s="361">
        <f>Q35/Q$35*100</f>
        <v>100</v>
      </c>
      <c r="S72" s="369">
        <f t="shared" ref="S72" si="176">IF(O35&gt;0,(S35/O35)*100,0)</f>
        <v>86.322527350104252</v>
      </c>
      <c r="T72" s="54">
        <f t="shared" ref="T72" si="177">IF(O35&gt;0,T35/O35*100,0)</f>
        <v>70.095297328976926</v>
      </c>
      <c r="U72" s="54">
        <f t="shared" ref="U72" si="178">IF(O35&gt;0,(U35/O35)*100,0)</f>
        <v>156.41782467908115</v>
      </c>
      <c r="W72" s="22" t="str">
        <f>W35</f>
        <v>All occupations</v>
      </c>
      <c r="X72" s="361">
        <f>X35/X$35*100</f>
        <v>100</v>
      </c>
      <c r="Y72" s="361">
        <f>Y35/Y$35*100</f>
        <v>100</v>
      </c>
      <c r="Z72" s="361">
        <f>Z35/Z$35*100</f>
        <v>100</v>
      </c>
      <c r="AA72" s="361">
        <f>AA35/AA$35*100</f>
        <v>100</v>
      </c>
      <c r="AB72" s="361">
        <f>AB35/AB$35*100</f>
        <v>100</v>
      </c>
      <c r="AD72" s="369">
        <f t="shared" ref="AD72" si="179">IF(Z35&gt;0,(AD35/Z35)*100,0)</f>
        <v>23.358074553583997</v>
      </c>
      <c r="AE72" s="54">
        <f t="shared" ref="AE72" si="180">IF(Z35&gt;0,AE35/Z35*100,0)</f>
        <v>62.324214049403338</v>
      </c>
      <c r="AF72" s="54">
        <f t="shared" ref="AF72" si="181">IF(Z35&gt;0,(AF35/Z35)*100,0)</f>
        <v>85.682288602987342</v>
      </c>
      <c r="AH72" s="22" t="str">
        <f>AH35</f>
        <v>All occupations</v>
      </c>
      <c r="AI72" s="361">
        <f>AI35/AI$35*100</f>
        <v>100</v>
      </c>
      <c r="AJ72" s="361">
        <f>AJ35/AJ$35*100</f>
        <v>100</v>
      </c>
      <c r="AK72" s="361">
        <f>AK35/AK$35*100</f>
        <v>100</v>
      </c>
      <c r="AL72" s="361">
        <f>AL35/AL$35*100</f>
        <v>100</v>
      </c>
      <c r="AM72" s="361">
        <f>AM35/AM$35*100</f>
        <v>100</v>
      </c>
      <c r="AO72" s="369">
        <f t="shared" ref="AO72" si="182">IF(AK35&gt;0,(AO35/AK35)*100,0)</f>
        <v>5.5160439492172131</v>
      </c>
      <c r="AP72" s="54">
        <f t="shared" ref="AP72" si="183">IF(AK35&gt;0,AP35/AK35*100,0)</f>
        <v>53.973264586919854</v>
      </c>
      <c r="AQ72" s="54">
        <f t="shared" ref="AQ72" si="184">IF(AK35&gt;0,(AQ35/AK35)*100,0)</f>
        <v>59.489308536137074</v>
      </c>
      <c r="AS72" s="22" t="str">
        <f>AS35</f>
        <v>All occupations</v>
      </c>
      <c r="AT72" s="361">
        <f>AT35/AT$35*100</f>
        <v>100</v>
      </c>
      <c r="AU72" s="361">
        <f>AU35/AU$35*100</f>
        <v>100</v>
      </c>
      <c r="AV72" s="361">
        <f>AV35/AV$35*100</f>
        <v>100</v>
      </c>
      <c r="AW72" s="361">
        <f>AW35/AW$35*100</f>
        <v>100</v>
      </c>
      <c r="AX72" s="361">
        <f>AX35/AX$35*100</f>
        <v>100</v>
      </c>
      <c r="AZ72" s="369">
        <f t="shared" ref="AZ72" si="185">IF(AV35&gt;0,(AZ35/AV35)*100,0)</f>
        <v>17.785693794209081</v>
      </c>
      <c r="BA72" s="54">
        <f t="shared" ref="BA72" si="186">IF(AV35&gt;0,BA35/AV35*100,0)</f>
        <v>55.852765539179117</v>
      </c>
      <c r="BB72" s="54">
        <f t="shared" ref="BB72" si="187">IF(AV35&gt;0,(BB35/AV35)*100,0)</f>
        <v>73.638459333388184</v>
      </c>
      <c r="BD72" s="22" t="str">
        <f>BD35</f>
        <v>All occupations</v>
      </c>
      <c r="BE72" s="361">
        <f>BE35/BE$35*100</f>
        <v>100</v>
      </c>
      <c r="BF72" s="361">
        <f>BF35/BF$35*100</f>
        <v>100</v>
      </c>
      <c r="BG72" s="361">
        <f>BG35/BG$35*100</f>
        <v>100</v>
      </c>
      <c r="BH72" s="361">
        <f>BH35/BH$35*100</f>
        <v>100</v>
      </c>
      <c r="BI72" s="361">
        <f>BI35/BI$35*100</f>
        <v>100</v>
      </c>
      <c r="BK72" s="369">
        <f t="shared" ref="BK72" si="188">IF(BG35&gt;0,(BK35/BG35)*100,0)</f>
        <v>5.6070684474947869</v>
      </c>
      <c r="BL72" s="54">
        <f t="shared" ref="BL72" si="189">IF(BG35&gt;0,BL35/BG35*100,0)</f>
        <v>46.658418084037095</v>
      </c>
      <c r="BM72" s="54">
        <f t="shared" ref="BM72" si="190">IF(BG35&gt;0,(BM35/BG35)*100,0)</f>
        <v>52.265486531531877</v>
      </c>
      <c r="BO72" s="22" t="str">
        <f>BO35</f>
        <v>All occupations</v>
      </c>
      <c r="BP72" s="361">
        <f>BP35/BP$35*100</f>
        <v>100</v>
      </c>
      <c r="BQ72" s="361">
        <f>BQ35/BQ$35*100</f>
        <v>100</v>
      </c>
      <c r="BR72" s="361">
        <f>BR35/BR$35*100</f>
        <v>100</v>
      </c>
      <c r="BS72" s="361">
        <f>BS35/BS$35*100</f>
        <v>100</v>
      </c>
      <c r="BT72" s="361">
        <f>BT35/BT$35*100</f>
        <v>100</v>
      </c>
      <c r="BV72" s="369">
        <f t="shared" ref="BV72" si="191">IF(BR35&gt;0,(BV35/BR35)*100,0)</f>
        <v>-7.773846593621986</v>
      </c>
      <c r="BW72" s="54">
        <f t="shared" ref="BW72" si="192">IF(BR35&gt;0,BW35/BR35*100,0)</f>
        <v>47.462846252384701</v>
      </c>
      <c r="BX72" s="54">
        <f t="shared" ref="BX72" si="193">IF(BR35&gt;0,(BX35/BR35)*100,0)</f>
        <v>39.688999658762711</v>
      </c>
      <c r="BZ72" s="22" t="str">
        <f>BZ35</f>
        <v>All occupations</v>
      </c>
      <c r="CA72" s="361">
        <f>CA35/CA$35*100</f>
        <v>100</v>
      </c>
      <c r="CB72" s="361">
        <f>CB35/CB$35*100</f>
        <v>100</v>
      </c>
      <c r="CC72" s="361">
        <f>CC35/CC$35*100</f>
        <v>100</v>
      </c>
      <c r="CD72" s="361">
        <f>CD35/CD$35*100</f>
        <v>100</v>
      </c>
      <c r="CE72" s="361">
        <f>CE35/CE$35*100</f>
        <v>100</v>
      </c>
      <c r="CG72" s="369">
        <f t="shared" ref="CG72" si="194">IF(CC35&gt;0,(CG35/CC35)*100,0)</f>
        <v>-46.817579015284331</v>
      </c>
      <c r="CH72" s="54">
        <f t="shared" ref="CH72" si="195">IF(CC35&gt;0,CH35/CC35*100,0)</f>
        <v>30.838895710805275</v>
      </c>
      <c r="CI72" s="54">
        <f t="shared" ref="CI72" si="196">IF(CC35&gt;0,(CI35/CC35)*100,0)</f>
        <v>-15.97868330447905</v>
      </c>
      <c r="CK72" s="22" t="str">
        <f>CK35</f>
        <v>All occupations</v>
      </c>
      <c r="CL72" s="361">
        <f>CL35/CL$35*100</f>
        <v>100</v>
      </c>
      <c r="CM72" s="361">
        <f>CM35/CM$35*100</f>
        <v>100</v>
      </c>
      <c r="CN72" s="361">
        <f>CN35/CN$35*100</f>
        <v>100</v>
      </c>
      <c r="CO72" s="361">
        <f>CO35/CO$35*100</f>
        <v>100</v>
      </c>
      <c r="CP72" s="361">
        <f>CP35/CP$35*100</f>
        <v>100</v>
      </c>
      <c r="CR72" s="369">
        <f t="shared" ref="CR72" si="197">IF(CN35&gt;0,(CR35/CN35)*100,0)</f>
        <v>-61.78096348711707</v>
      </c>
      <c r="CS72" s="54">
        <f t="shared" ref="CS72" si="198">IF(CN35&gt;0,CS35/CN35*100,0)</f>
        <v>19.634277383611895</v>
      </c>
      <c r="CT72" s="54">
        <f t="shared" ref="CT72" si="199">IF(CN35&gt;0,(CT35/CN35)*100,0)</f>
        <v>-42.146686103505168</v>
      </c>
    </row>
    <row r="75" spans="1:98" ht="51" customHeight="1">
      <c r="A75" s="353" t="str">
        <f>CONCATENATE(A$1," (Continued)")</f>
        <v>Basic Table 2  Employment Change by Occupation and Replacement Demand, RQF8 Doctorate, 2015-2035, Black Country (Continued)</v>
      </c>
      <c r="B75" s="353"/>
      <c r="C75" s="353"/>
      <c r="D75" s="353"/>
      <c r="E75" s="353"/>
      <c r="F75" s="353"/>
      <c r="G75" s="353"/>
      <c r="H75" s="353"/>
      <c r="I75" s="353"/>
      <c r="J75" s="353"/>
      <c r="L75" s="353" t="str">
        <f>CONCATENATE(L$1," (Continued)")</f>
        <v>Basic Table 2.1  Employment Change by Occupation and Replacement Demand, RQF7 Other higher degree, 2015-2035, Black Country (Continued)</v>
      </c>
      <c r="M75" s="353"/>
      <c r="N75" s="353"/>
      <c r="O75" s="353"/>
      <c r="P75" s="353"/>
      <c r="Q75" s="353"/>
      <c r="R75" s="353"/>
      <c r="S75" s="353"/>
      <c r="T75" s="353"/>
      <c r="U75" s="353"/>
      <c r="W75" s="353" t="str">
        <f>CONCATENATE(W$1," (Continued)")</f>
        <v>Basic Table 2.2  Employment Change by Occupation and Replacement Demand, RQF6 First degree, 2015-2035, Black Country (Continued)</v>
      </c>
      <c r="X75" s="353"/>
      <c r="Y75" s="353"/>
      <c r="Z75" s="353"/>
      <c r="AA75" s="353"/>
      <c r="AB75" s="353"/>
      <c r="AC75" s="353"/>
      <c r="AD75" s="353"/>
      <c r="AE75" s="353"/>
      <c r="AF75" s="353"/>
      <c r="AH75" s="353" t="str">
        <f>CONCATENATE(AH$1," (Continued)")</f>
        <v>Basic Table 2.3  Employment Change by Occupation and Replacement Demand, RQF5 Foundation degree;Nursing;Teaching, 2015-2035, Black Country (Continued)</v>
      </c>
      <c r="AI75" s="353"/>
      <c r="AJ75" s="353"/>
      <c r="AK75" s="353"/>
      <c r="AL75" s="353"/>
      <c r="AM75" s="353"/>
      <c r="AN75" s="353"/>
      <c r="AO75" s="353"/>
      <c r="AP75" s="353"/>
      <c r="AQ75" s="353"/>
      <c r="AS75" s="353" t="str">
        <f>CONCATENATE(AS$1," (Continued)")</f>
        <v>Basic Table 2.4  Employment Change by Occupation and Replacement Demand, RQF4 HE below degree level, 2015-2035, Black Country (Continued)</v>
      </c>
      <c r="AT75" s="353"/>
      <c r="AU75" s="353"/>
      <c r="AV75" s="353"/>
      <c r="AW75" s="353"/>
      <c r="AX75" s="353"/>
      <c r="AY75" s="353"/>
      <c r="AZ75" s="353"/>
      <c r="BA75" s="353"/>
      <c r="BB75" s="353"/>
      <c r="BD75" s="353" t="str">
        <f>CONCATENATE(BD$1," (Continued)")</f>
        <v>Basic Table 2.5  Employment Change by Occupation and Replacement Demand, RQF3 A level &amp; equivalent, 2015-2035, Black Country (Continued)</v>
      </c>
      <c r="BE75" s="353"/>
      <c r="BF75" s="353"/>
      <c r="BG75" s="353"/>
      <c r="BH75" s="353"/>
      <c r="BI75" s="353"/>
      <c r="BJ75" s="353"/>
      <c r="BK75" s="353"/>
      <c r="BL75" s="353"/>
      <c r="BM75" s="353"/>
      <c r="BO75" s="353" t="str">
        <f>CONCATENATE(BO$1," (Continued)")</f>
        <v>Basic Table 2.6  Employment Change by Occupation and Replacement Demand, RQF2 GCSE(A-C) &amp; equivalent, 2015-2035, Black Country (Continued)</v>
      </c>
      <c r="BP75" s="353"/>
      <c r="BQ75" s="353"/>
      <c r="BR75" s="353"/>
      <c r="BS75" s="353"/>
      <c r="BT75" s="353"/>
      <c r="BU75" s="353"/>
      <c r="BV75" s="353"/>
      <c r="BW75" s="353"/>
      <c r="BX75" s="353"/>
      <c r="BZ75" s="353" t="str">
        <f>CONCATENATE(BZ$1," (Continued)")</f>
        <v>Basic Table 2.7  Employment Change by Occupation and Replacement Demand, RQF1 GCSE(below grade C) &amp; equivalent, 2015-2035, Black Country (Continued)</v>
      </c>
      <c r="CA75" s="353"/>
      <c r="CB75" s="353"/>
      <c r="CC75" s="353"/>
      <c r="CD75" s="353"/>
      <c r="CE75" s="353"/>
      <c r="CF75" s="353"/>
      <c r="CG75" s="353"/>
      <c r="CH75" s="353"/>
      <c r="CI75" s="353"/>
      <c r="CK75" s="353" t="str">
        <f>CONCATENATE(CK$1," (Continued)")</f>
        <v>Basic Table 2.8  Employment Change by Occupation and Replacement Demand, No Qualification, 2015-2035, Black Country (Continued)</v>
      </c>
      <c r="CL75" s="353"/>
      <c r="CM75" s="353"/>
      <c r="CN75" s="353"/>
      <c r="CO75" s="353"/>
      <c r="CP75" s="353"/>
      <c r="CQ75" s="353"/>
      <c r="CR75" s="353"/>
      <c r="CS75" s="353"/>
      <c r="CT75" s="353"/>
    </row>
    <row r="77" spans="1:98">
      <c r="F77" s="16" t="s">
        <v>159</v>
      </c>
      <c r="J77" s="16" t="s">
        <v>159</v>
      </c>
      <c r="Q77" s="16" t="s">
        <v>159</v>
      </c>
      <c r="U77" s="16" t="s">
        <v>159</v>
      </c>
      <c r="AB77" s="16" t="s">
        <v>159</v>
      </c>
      <c r="AF77" s="16" t="s">
        <v>159</v>
      </c>
      <c r="AM77" s="16" t="s">
        <v>159</v>
      </c>
      <c r="AQ77" s="16" t="s">
        <v>159</v>
      </c>
      <c r="AX77" s="16" t="s">
        <v>159</v>
      </c>
      <c r="BB77" s="16" t="s">
        <v>159</v>
      </c>
      <c r="BI77" s="16" t="s">
        <v>159</v>
      </c>
      <c r="BM77" s="16" t="s">
        <v>159</v>
      </c>
      <c r="BT77" s="16" t="s">
        <v>159</v>
      </c>
      <c r="BX77" s="16" t="s">
        <v>159</v>
      </c>
      <c r="CE77" s="16" t="s">
        <v>159</v>
      </c>
      <c r="CI77" s="16" t="s">
        <v>159</v>
      </c>
      <c r="CP77" s="16" t="s">
        <v>159</v>
      </c>
      <c r="CT77" s="16" t="s">
        <v>159</v>
      </c>
    </row>
    <row r="78" spans="1:98">
      <c r="A78" s="29"/>
      <c r="B78" s="29"/>
      <c r="C78" s="29"/>
      <c r="D78" s="29"/>
      <c r="E78" s="29"/>
      <c r="F78" s="29"/>
      <c r="H78" s="24" t="str">
        <f>$H$4</f>
        <v>2020-2035</v>
      </c>
      <c r="I78" s="29"/>
      <c r="J78" s="29"/>
      <c r="L78" s="29"/>
      <c r="M78" s="29"/>
      <c r="N78" s="29"/>
      <c r="O78" s="29"/>
      <c r="P78" s="29"/>
      <c r="Q78" s="29"/>
      <c r="S78" s="24" t="str">
        <f>$H$4</f>
        <v>2020-2035</v>
      </c>
      <c r="T78" s="29"/>
      <c r="U78" s="29"/>
      <c r="W78" s="29"/>
      <c r="X78" s="29"/>
      <c r="Y78" s="29"/>
      <c r="Z78" s="29"/>
      <c r="AA78" s="29"/>
      <c r="AB78" s="29"/>
      <c r="AD78" s="24" t="str">
        <f>$H$4</f>
        <v>2020-2035</v>
      </c>
      <c r="AE78" s="29"/>
      <c r="AF78" s="29"/>
      <c r="AH78" s="29"/>
      <c r="AI78" s="29"/>
      <c r="AJ78" s="29"/>
      <c r="AK78" s="29"/>
      <c r="AL78" s="29"/>
      <c r="AM78" s="29"/>
      <c r="AO78" s="24" t="str">
        <f>$H$4</f>
        <v>2020-2035</v>
      </c>
      <c r="AP78" s="29"/>
      <c r="AQ78" s="29"/>
      <c r="AS78" s="29"/>
      <c r="AT78" s="29"/>
      <c r="AU78" s="29"/>
      <c r="AV78" s="29"/>
      <c r="AW78" s="29"/>
      <c r="AX78" s="29"/>
      <c r="AZ78" s="24" t="str">
        <f>$H$4</f>
        <v>2020-2035</v>
      </c>
      <c r="BA78" s="29"/>
      <c r="BB78" s="29"/>
      <c r="BD78" s="29"/>
      <c r="BE78" s="29"/>
      <c r="BF78" s="29"/>
      <c r="BG78" s="29"/>
      <c r="BH78" s="29"/>
      <c r="BI78" s="29"/>
      <c r="BK78" s="24" t="str">
        <f>$H$4</f>
        <v>2020-2035</v>
      </c>
      <c r="BL78" s="29"/>
      <c r="BM78" s="29"/>
      <c r="BO78" s="29"/>
      <c r="BP78" s="29"/>
      <c r="BQ78" s="29"/>
      <c r="BR78" s="29"/>
      <c r="BS78" s="29"/>
      <c r="BT78" s="29"/>
      <c r="BV78" s="24" t="str">
        <f>$H$4</f>
        <v>2020-2035</v>
      </c>
      <c r="BW78" s="29"/>
      <c r="BX78" s="29"/>
      <c r="BZ78" s="29"/>
      <c r="CA78" s="29"/>
      <c r="CB78" s="29"/>
      <c r="CC78" s="29"/>
      <c r="CD78" s="29"/>
      <c r="CE78" s="29"/>
      <c r="CG78" s="24" t="str">
        <f>$H$4</f>
        <v>2020-2035</v>
      </c>
      <c r="CH78" s="29"/>
      <c r="CI78" s="29"/>
      <c r="CK78" s="29"/>
      <c r="CL78" s="29"/>
      <c r="CM78" s="29"/>
      <c r="CN78" s="29"/>
      <c r="CO78" s="29"/>
      <c r="CP78" s="29"/>
      <c r="CR78" s="24" t="str">
        <f>$H$4</f>
        <v>2020-2035</v>
      </c>
      <c r="CS78" s="29"/>
      <c r="CT78" s="29"/>
    </row>
    <row r="79" spans="1:98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>
      <c r="A80" s="32" t="s">
        <v>160</v>
      </c>
      <c r="B80" s="52" t="str">
        <f>CONCATENATE(B$6,"-",C$6)</f>
        <v>2015-2019</v>
      </c>
      <c r="C80" s="52" t="str">
        <f>CONCATENATE(C$6,"-",D$6)</f>
        <v>2019-2020</v>
      </c>
      <c r="D80" s="52" t="str">
        <f>CONCATENATE(D$6,"-",E$6)</f>
        <v>2020-2025</v>
      </c>
      <c r="E80" s="52" t="str">
        <f>CONCATENATE(E$6,"-",F$6)</f>
        <v>2025-2035</v>
      </c>
      <c r="F80" s="52" t="str">
        <f>CONCATENATE(C$6,"-",F$6)</f>
        <v>2019-2035</v>
      </c>
      <c r="H80" s="51" t="str">
        <f t="shared" si="200"/>
        <v>Change</v>
      </c>
      <c r="I80" s="51" t="str">
        <f t="shared" si="200"/>
        <v>Demand</v>
      </c>
      <c r="J80" s="51" t="str">
        <f t="shared" si="200"/>
        <v>Requirement</v>
      </c>
      <c r="L80" s="32" t="s">
        <v>160</v>
      </c>
      <c r="M80" s="52" t="str">
        <f>CONCATENATE(M$6,"-",N$6)</f>
        <v>2015-2019</v>
      </c>
      <c r="N80" s="52" t="str">
        <f>CONCATENATE(N$6,"-",O$6)</f>
        <v>2019-2020</v>
      </c>
      <c r="O80" s="52" t="str">
        <f>CONCATENATE(O$6,"-",P$6)</f>
        <v>2020-2025</v>
      </c>
      <c r="P80" s="52" t="str">
        <f>CONCATENATE(P$6,"-",Q$6)</f>
        <v>2025-2035</v>
      </c>
      <c r="Q80" s="52" t="str">
        <f>CONCATENATE(N$6,"-",Q$6)</f>
        <v>2019-2035</v>
      </c>
      <c r="S80" s="51" t="str">
        <f t="shared" si="201"/>
        <v>Change</v>
      </c>
      <c r="T80" s="51" t="str">
        <f t="shared" si="201"/>
        <v>Demand</v>
      </c>
      <c r="U80" s="51" t="str">
        <f t="shared" si="201"/>
        <v>Requirement</v>
      </c>
      <c r="W80" s="32" t="s">
        <v>160</v>
      </c>
      <c r="X80" s="52" t="str">
        <f>CONCATENATE(X$6,"-",Y$6)</f>
        <v>2015-2019</v>
      </c>
      <c r="Y80" s="52" t="str">
        <f>CONCATENATE(Y$6,"-",Z$6)</f>
        <v>2019-2020</v>
      </c>
      <c r="Z80" s="52" t="str">
        <f>CONCATENATE(Z$6,"-",AA$6)</f>
        <v>2020-2025</v>
      </c>
      <c r="AA80" s="52" t="str">
        <f>CONCATENATE(AA$6,"-",AB$6)</f>
        <v>2025-2035</v>
      </c>
      <c r="AB80" s="52" t="str">
        <f>CONCATENATE(Y$6,"-",AB$6)</f>
        <v>2019-2035</v>
      </c>
      <c r="AD80" s="51" t="str">
        <f t="shared" si="202"/>
        <v>Change</v>
      </c>
      <c r="AE80" s="51" t="str">
        <f t="shared" si="202"/>
        <v>Demand</v>
      </c>
      <c r="AF80" s="51" t="str">
        <f t="shared" si="202"/>
        <v>Requirement</v>
      </c>
      <c r="AH80" s="32" t="s">
        <v>160</v>
      </c>
      <c r="AI80" s="52" t="str">
        <f>CONCATENATE(AI$6,"-",AJ$6)</f>
        <v>2015-2019</v>
      </c>
      <c r="AJ80" s="52" t="str">
        <f>CONCATENATE(AJ$6,"-",AK$6)</f>
        <v>2019-2020</v>
      </c>
      <c r="AK80" s="52" t="str">
        <f>CONCATENATE(AK$6,"-",AL$6)</f>
        <v>2020-2025</v>
      </c>
      <c r="AL80" s="52" t="str">
        <f>CONCATENATE(AL$6,"-",AM$6)</f>
        <v>2025-2035</v>
      </c>
      <c r="AM80" s="52" t="str">
        <f>CONCATENATE(AJ$6,"-",AM$6)</f>
        <v>2019-2035</v>
      </c>
      <c r="AO80" s="51" t="str">
        <f t="shared" si="203"/>
        <v>Change</v>
      </c>
      <c r="AP80" s="51" t="str">
        <f t="shared" si="203"/>
        <v>Demand</v>
      </c>
      <c r="AQ80" s="51" t="str">
        <f t="shared" si="203"/>
        <v>Requirement</v>
      </c>
      <c r="AS80" s="32" t="s">
        <v>160</v>
      </c>
      <c r="AT80" s="52" t="str">
        <f>CONCATENATE(AT$6,"-",AU$6)</f>
        <v>2015-2019</v>
      </c>
      <c r="AU80" s="52" t="str">
        <f>CONCATENATE(AU$6,"-",AV$6)</f>
        <v>2019-2020</v>
      </c>
      <c r="AV80" s="52" t="str">
        <f>CONCATENATE(AV$6,"-",AW$6)</f>
        <v>2020-2025</v>
      </c>
      <c r="AW80" s="52" t="str">
        <f>CONCATENATE(AW$6,"-",AX$6)</f>
        <v>2025-2035</v>
      </c>
      <c r="AX80" s="52" t="str">
        <f>CONCATENATE(AU$6,"-",AX$6)</f>
        <v>2019-2035</v>
      </c>
      <c r="AZ80" s="51" t="str">
        <f t="shared" si="204"/>
        <v>Change</v>
      </c>
      <c r="BA80" s="51" t="str">
        <f t="shared" si="204"/>
        <v>Demand</v>
      </c>
      <c r="BB80" s="51" t="str">
        <f t="shared" si="204"/>
        <v>Requirement</v>
      </c>
      <c r="BD80" s="32" t="s">
        <v>160</v>
      </c>
      <c r="BE80" s="52" t="str">
        <f>CONCATENATE(BE$6,"-",BF$6)</f>
        <v>2015-2019</v>
      </c>
      <c r="BF80" s="52" t="str">
        <f>CONCATENATE(BF$6,"-",BG$6)</f>
        <v>2019-2020</v>
      </c>
      <c r="BG80" s="52" t="str">
        <f>CONCATENATE(BG$6,"-",BH$6)</f>
        <v>2020-2025</v>
      </c>
      <c r="BH80" s="52" t="str">
        <f>CONCATENATE(BH$6,"-",BI$6)</f>
        <v>2025-2035</v>
      </c>
      <c r="BI80" s="52" t="str">
        <f>CONCATENATE(BF$6,"-",BI$6)</f>
        <v>2019-2035</v>
      </c>
      <c r="BK80" s="51" t="str">
        <f t="shared" si="205"/>
        <v>Change</v>
      </c>
      <c r="BL80" s="51" t="str">
        <f t="shared" si="205"/>
        <v>Demand</v>
      </c>
      <c r="BM80" s="51" t="str">
        <f t="shared" si="205"/>
        <v>Requirement</v>
      </c>
      <c r="BO80" s="32" t="s">
        <v>160</v>
      </c>
      <c r="BP80" s="52" t="str">
        <f>CONCATENATE(BP$6,"-",BQ$6)</f>
        <v>2015-2019</v>
      </c>
      <c r="BQ80" s="52" t="str">
        <f>CONCATENATE(BQ$6,"-",BR$6)</f>
        <v>2019-2020</v>
      </c>
      <c r="BR80" s="52" t="str">
        <f>CONCATENATE(BR$6,"-",BS$6)</f>
        <v>2020-2025</v>
      </c>
      <c r="BS80" s="52" t="str">
        <f>CONCATENATE(BS$6,"-",BT$6)</f>
        <v>2025-2035</v>
      </c>
      <c r="BT80" s="52" t="str">
        <f>CONCATENATE(BQ$6,"-",BT$6)</f>
        <v>2019-2035</v>
      </c>
      <c r="BV80" s="51" t="str">
        <f t="shared" si="206"/>
        <v>Change</v>
      </c>
      <c r="BW80" s="51" t="str">
        <f t="shared" si="206"/>
        <v>Demand</v>
      </c>
      <c r="BX80" s="51" t="str">
        <f t="shared" si="206"/>
        <v>Requirement</v>
      </c>
      <c r="BZ80" s="32" t="s">
        <v>160</v>
      </c>
      <c r="CA80" s="52" t="str">
        <f>CONCATENATE(CA$6,"-",CB$6)</f>
        <v>2015-2019</v>
      </c>
      <c r="CB80" s="52" t="str">
        <f>CONCATENATE(CB$6,"-",CC$6)</f>
        <v>2019-2020</v>
      </c>
      <c r="CC80" s="52" t="str">
        <f>CONCATENATE(CC$6,"-",CD$6)</f>
        <v>2020-2025</v>
      </c>
      <c r="CD80" s="52" t="str">
        <f>CONCATENATE(CD$6,"-",CE$6)</f>
        <v>2025-2035</v>
      </c>
      <c r="CE80" s="52" t="str">
        <f>CONCATENATE(CB$6,"-",CE$6)</f>
        <v>2019-2035</v>
      </c>
      <c r="CG80" s="51" t="str">
        <f t="shared" si="207"/>
        <v>Change</v>
      </c>
      <c r="CH80" s="51" t="str">
        <f t="shared" si="207"/>
        <v>Demand</v>
      </c>
      <c r="CI80" s="51" t="str">
        <f t="shared" si="207"/>
        <v>Requirement</v>
      </c>
      <c r="CK80" s="32" t="s">
        <v>160</v>
      </c>
      <c r="CL80" s="52" t="str">
        <f>CONCATENATE(CL$6,"-",CM$6)</f>
        <v>2015-2019</v>
      </c>
      <c r="CM80" s="52" t="str">
        <f>CONCATENATE(CM$6,"-",CN$6)</f>
        <v>2019-2020</v>
      </c>
      <c r="CN80" s="52" t="str">
        <f>CONCATENATE(CN$6,"-",CO$6)</f>
        <v>2020-2025</v>
      </c>
      <c r="CO80" s="52" t="str">
        <f>CONCATENATE(CO$6,"-",CP$6)</f>
        <v>2025-2035</v>
      </c>
      <c r="CP80" s="52" t="str">
        <f>CONCATENATE(CM$6,"-",CP$6)</f>
        <v>2019-2035</v>
      </c>
      <c r="CR80" s="51" t="str">
        <f t="shared" si="208"/>
        <v>Change</v>
      </c>
      <c r="CS80" s="51" t="str">
        <f t="shared" si="208"/>
        <v>Demand</v>
      </c>
      <c r="CT80" s="51" t="str">
        <f t="shared" si="208"/>
        <v>Requirement</v>
      </c>
    </row>
    <row r="82" spans="1:98">
      <c r="A82" t="str">
        <f t="shared" ref="A82:A107" si="209">A8</f>
        <v>11 Corporate managers and directors</v>
      </c>
      <c r="B82" s="322">
        <f t="shared" ref="B82:E107" si="210">IF(AND(C$6-B$6 &lt;&gt; 0,B8&lt;&gt;0,C8&lt;&gt;0),(EXP(LN(C8/B8)/(C$6-B$6))-1)*100,0)</f>
        <v>7.195430404582881</v>
      </c>
      <c r="C82" s="322">
        <f t="shared" si="210"/>
        <v>-7.4981059392853933</v>
      </c>
      <c r="D82" s="322">
        <f t="shared" si="210"/>
        <v>3.1184163318551894</v>
      </c>
      <c r="E82" s="322">
        <f t="shared" si="210"/>
        <v>4.4554280132685697</v>
      </c>
      <c r="F82" s="322">
        <f t="shared" ref="F82:F107" si="211">IF(AND(F$6-C$6 &lt;&gt; 0,C8&lt;&gt;0,F8&lt;&gt;0),(EXP(LN(F8/C8)/(F$6-C$6))-1)*100,0)</f>
        <v>3.2485284294933026</v>
      </c>
      <c r="H82" s="322">
        <f t="shared" ref="H82:H107" si="212">IF($F$6-$D$6 &lt;&gt; 0,(EXP(LN(1+(H45/100))/($F$6-$D$6))-1)*100,0)</f>
        <v>4.0078423122921425</v>
      </c>
      <c r="I82" s="322">
        <f t="shared" ref="I82:I107" si="213">IF(D8&gt;0,((1+(I8/D8))^(1/($F$6-$D$6))-1)*100,0)</f>
        <v>3.561791751968113</v>
      </c>
      <c r="J82" s="322">
        <f t="shared" ref="J82:J107" si="214">IF($F$6-$D$6 &lt;&gt; 0,(EXP(LN(1+(J45/100))/($F$6-$D$6))-1)*100,0)</f>
        <v>6.2802966140499183</v>
      </c>
      <c r="L82" t="str">
        <f>A82</f>
        <v>11 Corporate managers and directors</v>
      </c>
      <c r="M82" s="322">
        <f t="shared" ref="M82:P107" si="215">IF(AND(N$6-M$6 &lt;&gt; 0,M8&lt;&gt;0,N8&lt;&gt;0),(EXP(LN(N8/M8)/(N$6-M$6))-1)*100,0)</f>
        <v>10.320378633902983</v>
      </c>
      <c r="N82" s="322">
        <f t="shared" si="215"/>
        <v>-3.4694737922876251</v>
      </c>
      <c r="O82" s="322">
        <f t="shared" si="215"/>
        <v>2.4432937740812566</v>
      </c>
      <c r="P82" s="322">
        <f t="shared" si="215"/>
        <v>4.0702551124820019</v>
      </c>
      <c r="Q82" s="322">
        <f t="shared" ref="Q82:Q107" si="216">IF(AND(Q$6-N$6 &lt;&gt; 0,N8&lt;&gt;0,Q8&lt;&gt;0),(EXP(LN(Q8/N8)/(Q$6-N$6))-1)*100,0)</f>
        <v>3.0734430296965654</v>
      </c>
      <c r="S82" s="322">
        <f t="shared" ref="S82:S107" si="217">IF($F$6-$D$6 &lt;&gt; 0,(EXP(LN(1+(S45/100))/($F$6-$D$6))-1)*100,0)</f>
        <v>3.525083776780602</v>
      </c>
      <c r="T82" s="322">
        <f t="shared" ref="T82:T107" si="218">IF(O8&gt;0,((1+(T8/O8))^(1/($F$6-$D$6))-1)*100,0)</f>
        <v>3.4489803292928167</v>
      </c>
      <c r="U82" s="322">
        <f t="shared" ref="U82:U107" si="219">IF($F$6-$D$6 &lt;&gt; 0,(EXP(LN(1+(U45/100))/($F$6-$D$6))-1)*100,0)</f>
        <v>5.844778711403853</v>
      </c>
      <c r="W82" t="str">
        <f>A82</f>
        <v>11 Corporate managers and directors</v>
      </c>
      <c r="X82" s="322">
        <f t="shared" ref="X82:AA107" si="220">IF(AND(Y$6-X$6 &lt;&gt; 0,X8&lt;&gt;0,Y8&lt;&gt;0),(EXP(LN(Y8/X8)/(Y$6-X$6))-1)*100,0)</f>
        <v>1.34377793859628</v>
      </c>
      <c r="Y82" s="322">
        <f t="shared" si="220"/>
        <v>7.5984126466791091</v>
      </c>
      <c r="Z82" s="322">
        <f t="shared" si="220"/>
        <v>-1.4630607972627163</v>
      </c>
      <c r="AA82" s="322">
        <f t="shared" si="220"/>
        <v>1.2780914808682375</v>
      </c>
      <c r="AB82" s="322">
        <f t="shared" ref="AB82:AB107" si="221">IF(AND(AB$6-Y$6 &lt;&gt; 0,Y8&lt;&gt;0,AB8&lt;&gt;0),(EXP(LN(AB8/Y8)/(AB$6-Y$6))-1)*100,0)</f>
        <v>0.79402036343589888</v>
      </c>
      <c r="AD82" s="322">
        <f t="shared" ref="AD82:AD107" si="222">IF($F$6-$D$6 &lt;&gt; 0,(EXP(LN(1+(AD45/100))/($F$6-$D$6))-1)*100,0)</f>
        <v>0.35600438426064418</v>
      </c>
      <c r="AE82" s="322">
        <f t="shared" ref="AE82:AE107" si="223">IF(Z8&gt;0,((1+(AE8/Z8))^(1/($F$6-$D$6))-1)*100,0)</f>
        <v>3.0482895915217689</v>
      </c>
      <c r="AF82" s="322">
        <f t="shared" ref="AF82:AF107" si="224">IF($F$6-$D$6 &lt;&gt; 0,(EXP(LN(1+(AF45/100))/($F$6-$D$6))-1)*100,0)</f>
        <v>3.2842101719503303</v>
      </c>
      <c r="AH82" t="str">
        <f>L82</f>
        <v>11 Corporate managers and directors</v>
      </c>
      <c r="AI82" s="322">
        <f t="shared" ref="AI82:AL107" si="225">IF(AND(AJ$6-AI$6 &lt;&gt; 0,AI8&lt;&gt;0,AJ8&lt;&gt;0),(EXP(LN(AJ8/AI8)/(AJ$6-AI$6))-1)*100,0)</f>
        <v>1.659622508448555</v>
      </c>
      <c r="AJ82" s="322">
        <f t="shared" si="225"/>
        <v>10.908232832659515</v>
      </c>
      <c r="AK82" s="322">
        <f t="shared" si="225"/>
        <v>-2.3073957895454855</v>
      </c>
      <c r="AL82" s="322">
        <f t="shared" si="225"/>
        <v>0.89501944305683256</v>
      </c>
      <c r="AM82" s="322">
        <f t="shared" ref="AM82:AM107" si="226">IF(AND(AM$6-AJ$6 &lt;&gt; 0,AJ8&lt;&gt;0,AM8&lt;&gt;0),(EXP(LN(AM8/AJ8)/(AM$6-AJ$6))-1)*100,0)</f>
        <v>0.47559667930956451</v>
      </c>
      <c r="AO82" s="322">
        <f t="shared" ref="AO82:AO107" si="227">IF($F$6-$D$6 &lt;&gt; 0,(EXP(LN(1+(AO45/100))/($F$6-$D$6))-1)*100,0)</f>
        <v>-0.18394964172337991</v>
      </c>
      <c r="AP82" s="322">
        <f t="shared" ref="AP82:AP107" si="228">IF(AK8&gt;0,((1+(AP8/AK8))^(1/($F$6-$D$6))-1)*100,0)</f>
        <v>2.728365435698632</v>
      </c>
      <c r="AQ82" s="322">
        <f t="shared" ref="AQ82:AQ107" si="229">IF($F$6-$D$6 &lt;&gt; 0,(EXP(LN(1+(AQ45/100))/($F$6-$D$6))-1)*100,0)</f>
        <v>2.6027148046402715</v>
      </c>
      <c r="AS82" t="str">
        <f>W82</f>
        <v>11 Corporate managers and directors</v>
      </c>
      <c r="AT82" s="322">
        <f t="shared" ref="AT82:AW107" si="230">IF(AND(AU$6-AT$6 &lt;&gt; 0,AT8&lt;&gt;0,AU8&lt;&gt;0),(EXP(LN(AU8/AT8)/(AU$6-AT$6))-1)*100,0)</f>
        <v>-7.2868816091886668E-2</v>
      </c>
      <c r="AU82" s="322">
        <f t="shared" si="230"/>
        <v>6.3752175666380362</v>
      </c>
      <c r="AV82" s="322">
        <f t="shared" si="230"/>
        <v>-3.0918239163318706</v>
      </c>
      <c r="AW82" s="322">
        <f t="shared" si="230"/>
        <v>0.59925657844306368</v>
      </c>
      <c r="AX82" s="322">
        <f t="shared" ref="AX82:AX107" si="231">IF(AND(AX$6-AU$6 &lt;&gt; 0,AU8&lt;&gt;0,AX8&lt;&gt;0),(EXP(LN(AX8/AU8)/(AX$6-AU$6))-1)*100,0)</f>
        <v>-0.22151807820589564</v>
      </c>
      <c r="AZ82" s="322">
        <f t="shared" ref="AZ82:AZ107" si="232">IF($F$6-$D$6 &lt;&gt; 0,(EXP(LN(1+(AZ45/100))/($F$6-$D$6))-1)*100,0)</f>
        <v>-0.64646571401074659</v>
      </c>
      <c r="BA82" s="322">
        <f t="shared" ref="BA82:BA107" si="233">IF(AV8&gt;0,((1+(BA8/AV8))^(1/($F$6-$D$6))-1)*100,0)</f>
        <v>2.616602456080086</v>
      </c>
      <c r="BB82" s="322">
        <f t="shared" ref="BB82:BB107" si="234">IF($F$6-$D$6 &lt;&gt; 0,(EXP(LN(1+(BB45/100))/($F$6-$D$6))-1)*100,0)</f>
        <v>2.1729444198212544</v>
      </c>
      <c r="BD82" t="str">
        <f>AH82</f>
        <v>11 Corporate managers and directors</v>
      </c>
      <c r="BE82" s="322">
        <f t="shared" ref="BE82:BH107" si="235">IF(AND(BF$6-BE$6 &lt;&gt; 0,BE8&lt;&gt;0,BF8&lt;&gt;0),(EXP(LN(BF8/BE8)/(BF$6-BE$6))-1)*100,0)</f>
        <v>4.9976979179853664</v>
      </c>
      <c r="BF82" s="322">
        <f t="shared" si="235"/>
        <v>2.6313106027357813</v>
      </c>
      <c r="BG82" s="322">
        <f t="shared" si="235"/>
        <v>-2.2575009868996521</v>
      </c>
      <c r="BH82" s="322">
        <f t="shared" si="235"/>
        <v>0.75237643859842329</v>
      </c>
      <c r="BI82" s="322">
        <f t="shared" ref="BI82:BI107" si="236">IF(AND(BI$6-BF$6 &lt;&gt; 0,BF8&lt;&gt;0,BI8&lt;&gt;0),(EXP(LN(BI8/BF8)/(BI$6-BF$6))-1)*100,0)</f>
        <v>-8.2714150256091301E-2</v>
      </c>
      <c r="BK82" s="322">
        <f t="shared" ref="BK82:BK107" si="237">IF($F$6-$D$6 &lt;&gt; 0,(EXP(LN(1+(BK45/100))/($F$6-$D$6))-1)*100,0)</f>
        <v>-0.26107601640260603</v>
      </c>
      <c r="BL82" s="322">
        <f t="shared" ref="BL82:BL107" si="238">IF(BG8&gt;0,((1+(BL8/BG8))^(1/($F$6-$D$6))-1)*100,0)</f>
        <v>2.3257085129023247</v>
      </c>
      <c r="BM82" s="322">
        <f t="shared" ref="BM82:BM107" si="239">IF($F$6-$D$6 &lt;&gt; 0,(EXP(LN(1+(BM45/100))/($F$6-$D$6))-1)*100,0)</f>
        <v>2.1374980073244565</v>
      </c>
      <c r="BO82" t="str">
        <f>AS82</f>
        <v>11 Corporate managers and directors</v>
      </c>
      <c r="BP82" s="322">
        <f t="shared" ref="BP82:BS107" si="240">IF(AND(BQ$6-BP$6 &lt;&gt; 0,BP8&lt;&gt;0,BQ8&lt;&gt;0),(EXP(LN(BQ8/BP8)/(BQ$6-BP$6))-1)*100,0)</f>
        <v>2.8904952131157069</v>
      </c>
      <c r="BQ82" s="322">
        <f t="shared" si="240"/>
        <v>-6.5660919339617489</v>
      </c>
      <c r="BR82" s="322">
        <f t="shared" si="240"/>
        <v>-2.6494766027680083</v>
      </c>
      <c r="BS82" s="322">
        <f t="shared" si="240"/>
        <v>-1.3138830547947289</v>
      </c>
      <c r="BT82" s="322">
        <f t="shared" ref="BT82:BT107" si="241">IF(AND(BT$6-BQ$6 &lt;&gt; 0,BQ8&lt;&gt;0,BT8&lt;&gt;0),(EXP(LN(BT8/BQ8)/(BT$6-BQ$6))-1)*100,0)</f>
        <v>-2.0685271671670225</v>
      </c>
      <c r="BV82" s="322">
        <f t="shared" ref="BV82:BV107" si="242">IF($F$6-$D$6 &lt;&gt; 0,(EXP(LN(1+(BV45/100))/($F$6-$D$6))-1)*100,0)</f>
        <v>-1.7611045416550675</v>
      </c>
      <c r="BW82" s="322">
        <f t="shared" ref="BW82:BW107" si="243">IF(BR8&gt;0,((1+(BW8/BR8))^(1/($F$6-$D$6))-1)*100,0)</f>
        <v>2.3335711987092722</v>
      </c>
      <c r="BX82" s="322">
        <f t="shared" ref="BX82:BX107" si="244">IF($F$6-$D$6 &lt;&gt; 0,(EXP(LN(1+(BX45/100))/($F$6-$D$6))-1)*100,0)</f>
        <v>1.1064740886882696</v>
      </c>
      <c r="BZ82" t="str">
        <f>BD82</f>
        <v>11 Corporate managers and directors</v>
      </c>
      <c r="CA82" s="322">
        <f t="shared" ref="CA82:CD107" si="245">IF(AND(CB$6-CA$6 &lt;&gt; 0,CA8&lt;&gt;0,CB8&lt;&gt;0),(EXP(LN(CB8/CA8)/(CB$6-CA$6))-1)*100,0)</f>
        <v>0.78589956033019437</v>
      </c>
      <c r="CB82" s="322">
        <f t="shared" si="245"/>
        <v>4.0251888772270927</v>
      </c>
      <c r="CC82" s="322">
        <f t="shared" si="245"/>
        <v>-5.3444009742919079</v>
      </c>
      <c r="CD82" s="322">
        <f t="shared" si="245"/>
        <v>-3.3052729188650876</v>
      </c>
      <c r="CE82" s="322">
        <f t="shared" ref="CE82:CE107" si="246">IF(AND(CE$6-CB$6 &lt;&gt; 0,CB8&lt;&gt;0,CE8&lt;&gt;0),(EXP(LN(CE8/CB8)/(CE$6-CB$6))-1)*100,0)</f>
        <v>-3.507485605361349</v>
      </c>
      <c r="CG82" s="322">
        <f t="shared" ref="CG82:CG107" si="247">IF($F$6-$D$6 &lt;&gt; 0,(EXP(LN(1+(CG45/100))/($F$6-$D$6))-1)*100,0)</f>
        <v>-3.9898170205295957</v>
      </c>
      <c r="CH82" s="322">
        <f t="shared" ref="CH82:CH107" si="248">IF(CC8&gt;0,((1+(CH8/CC8))^(1/($F$6-$D$6))-1)*100,0)</f>
        <v>1.8671600886562834</v>
      </c>
      <c r="CI82" s="322">
        <f t="shared" ref="CI82:CI107" si="249">IF($F$6-$D$6 &lt;&gt; 0,(EXP(LN(1+(CI45/100))/($F$6-$D$6))-1)*100,0)</f>
        <v>-0.97926533157499662</v>
      </c>
      <c r="CK82" t="str">
        <f>BO82</f>
        <v>11 Corporate managers and directors</v>
      </c>
      <c r="CL82" s="322">
        <f t="shared" ref="CL82:CO107" si="250">IF(AND(CM$6-CL$6 &lt;&gt; 0,CL8&lt;&gt;0,CM8&lt;&gt;0),(EXP(LN(CM8/CL8)/(CM$6-CL$6))-1)*100,0)</f>
        <v>0.50377602170685876</v>
      </c>
      <c r="CM82" s="322">
        <f t="shared" si="250"/>
        <v>10.034114874120403</v>
      </c>
      <c r="CN82" s="322">
        <f t="shared" si="250"/>
        <v>-8.6351580768758485</v>
      </c>
      <c r="CO82" s="322">
        <f t="shared" si="250"/>
        <v>-1.8467931442667673</v>
      </c>
      <c r="CP82" s="322">
        <f t="shared" ref="CP82:CP107" si="251">IF(AND(CP$6-CM$6 &lt;&gt; 0,CM8&lt;&gt;0,CP8&lt;&gt;0),(EXP(LN(CP8/CM8)/(CP$6-CM$6))-1)*100,0)</f>
        <v>-3.3327778015186493</v>
      </c>
      <c r="CR82" s="322">
        <f t="shared" ref="CR82:CR107" si="252">IF($F$6-$D$6 &lt;&gt; 0,(EXP(LN(1+(CR45/100))/($F$6-$D$6))-1)*100,0)</f>
        <v>-4.1638486629438809</v>
      </c>
      <c r="CS82" s="322">
        <f t="shared" ref="CS82:CS107" si="253">IF(CN8&gt;0,((1+(CS8/CN8))^(1/($F$6-$D$6))-1)*100,0)</f>
        <v>1.3618393887466107</v>
      </c>
      <c r="CT82" s="322">
        <f t="shared" ref="CT82:CT107" si="254">IF($F$6-$D$6 &lt;&gt; 0,(EXP(LN(1+(CT45/100))/($F$6-$D$6))-1)*100,0)</f>
        <v>-1.8707181553495489</v>
      </c>
    </row>
    <row r="83" spans="1:98">
      <c r="A83" t="str">
        <f t="shared" si="209"/>
        <v>12 Other managers and proprietors</v>
      </c>
      <c r="B83" s="322">
        <f t="shared" si="210"/>
        <v>7.19531440728709</v>
      </c>
      <c r="C83" s="322">
        <f t="shared" si="210"/>
        <v>-10.76747253599949</v>
      </c>
      <c r="D83" s="322">
        <f t="shared" si="210"/>
        <v>6.206702833934874</v>
      </c>
      <c r="E83" s="322">
        <f t="shared" si="210"/>
        <v>5.3382990715055145</v>
      </c>
      <c r="F83" s="322">
        <f t="shared" si="211"/>
        <v>4.5193295019456015</v>
      </c>
      <c r="H83" s="322">
        <f t="shared" si="212"/>
        <v>5.6269751624604458</v>
      </c>
      <c r="I83" s="322">
        <f t="shared" si="213"/>
        <v>4.5988397986800322</v>
      </c>
      <c r="J83" s="322">
        <f t="shared" si="214"/>
        <v>8.1436330070772769</v>
      </c>
      <c r="L83" t="str">
        <f t="shared" ref="L83:L106" si="255">A83</f>
        <v>12 Other managers and proprietors</v>
      </c>
      <c r="M83" s="322">
        <f t="shared" si="215"/>
        <v>7.7771749771988974</v>
      </c>
      <c r="N83" s="322">
        <f t="shared" si="215"/>
        <v>1.9698450250210664</v>
      </c>
      <c r="O83" s="322">
        <f t="shared" si="215"/>
        <v>5.1379152968220154</v>
      </c>
      <c r="P83" s="322">
        <f t="shared" si="215"/>
        <v>5.1927307168444514</v>
      </c>
      <c r="Q83" s="322">
        <f t="shared" si="216"/>
        <v>4.9712493541110181</v>
      </c>
      <c r="S83" s="322">
        <f t="shared" si="217"/>
        <v>5.1744557354679976</v>
      </c>
      <c r="T83" s="322">
        <f t="shared" si="218"/>
        <v>4.3189181627668383</v>
      </c>
      <c r="U83" s="322">
        <f t="shared" si="219"/>
        <v>7.6393414330954368</v>
      </c>
      <c r="W83" t="str">
        <f t="shared" ref="W83:W106" si="256">A83</f>
        <v>12 Other managers and proprietors</v>
      </c>
      <c r="X83" s="322">
        <f t="shared" si="220"/>
        <v>-0.80345698850654568</v>
      </c>
      <c r="Y83" s="322">
        <f t="shared" si="220"/>
        <v>14.762864157281363</v>
      </c>
      <c r="Z83" s="322">
        <f t="shared" si="220"/>
        <v>1.3946406605687356</v>
      </c>
      <c r="AA83" s="322">
        <f t="shared" si="220"/>
        <v>2.0194421087447401</v>
      </c>
      <c r="AB83" s="322">
        <f t="shared" si="221"/>
        <v>2.5756113310108963</v>
      </c>
      <c r="AD83" s="322">
        <f t="shared" si="222"/>
        <v>1.8107483407582947</v>
      </c>
      <c r="AE83" s="322">
        <f t="shared" si="223"/>
        <v>3.8325019837426089</v>
      </c>
      <c r="AF83" s="322">
        <f t="shared" si="224"/>
        <v>4.9591077408405404</v>
      </c>
      <c r="AH83" t="str">
        <f t="shared" ref="AH83:AH106" si="257">L83</f>
        <v>12 Other managers and proprietors</v>
      </c>
      <c r="AI83" s="322">
        <f t="shared" si="225"/>
        <v>-0.72969641608925384</v>
      </c>
      <c r="AJ83" s="322">
        <f t="shared" si="225"/>
        <v>18.63494452372203</v>
      </c>
      <c r="AK83" s="322">
        <f t="shared" si="225"/>
        <v>-0.37016589761219576</v>
      </c>
      <c r="AL83" s="322">
        <f t="shared" si="225"/>
        <v>1.9577460525088242</v>
      </c>
      <c r="AM83" s="322">
        <f t="shared" si="226"/>
        <v>2.1874638054778739</v>
      </c>
      <c r="AO83" s="322">
        <f t="shared" si="227"/>
        <v>1.1757936458674401</v>
      </c>
      <c r="AP83" s="322">
        <f t="shared" si="228"/>
        <v>3.5364475401279405</v>
      </c>
      <c r="AQ83" s="322">
        <f t="shared" si="229"/>
        <v>4.2830068514533304</v>
      </c>
      <c r="AS83" t="str">
        <f t="shared" ref="AS83:AS106" si="258">W83</f>
        <v>12 Other managers and proprietors</v>
      </c>
      <c r="AT83" s="322">
        <f t="shared" si="230"/>
        <v>-1.3820954193739743</v>
      </c>
      <c r="AU83" s="322">
        <f t="shared" si="230"/>
        <v>13.45126626623272</v>
      </c>
      <c r="AV83" s="322">
        <f t="shared" si="230"/>
        <v>1.1768561161874302</v>
      </c>
      <c r="AW83" s="322">
        <f t="shared" si="230"/>
        <v>1.5678403974354715</v>
      </c>
      <c r="AX83" s="322">
        <f t="shared" si="231"/>
        <v>2.1494633853099243</v>
      </c>
      <c r="AZ83" s="322">
        <f t="shared" si="232"/>
        <v>1.4373447129356842</v>
      </c>
      <c r="BA83" s="322">
        <f t="shared" si="233"/>
        <v>3.5042943980537533</v>
      </c>
      <c r="BB83" s="322">
        <f t="shared" si="234"/>
        <v>4.4269813748389231</v>
      </c>
      <c r="BD83" t="str">
        <f t="shared" ref="BD83:BD106" si="259">AH83</f>
        <v>12 Other managers and proprietors</v>
      </c>
      <c r="BE83" s="322">
        <f t="shared" si="235"/>
        <v>0.81550276892201623</v>
      </c>
      <c r="BF83" s="322">
        <f t="shared" si="235"/>
        <v>-1.2945022001949691</v>
      </c>
      <c r="BG83" s="322">
        <f t="shared" si="235"/>
        <v>0.17078337424658585</v>
      </c>
      <c r="BH83" s="322">
        <f t="shared" si="235"/>
        <v>0.57848852482891289</v>
      </c>
      <c r="BI83" s="322">
        <f t="shared" si="236"/>
        <v>0.33295630218037608</v>
      </c>
      <c r="BK83" s="322">
        <f t="shared" si="237"/>
        <v>0.44240276282605517</v>
      </c>
      <c r="BL83" s="322">
        <f t="shared" si="238"/>
        <v>2.6190914933406528</v>
      </c>
      <c r="BM83" s="322">
        <f t="shared" si="239"/>
        <v>2.9301793527488629</v>
      </c>
      <c r="BO83" t="str">
        <f t="shared" ref="BO83:BO106" si="260">AS83</f>
        <v>12 Other managers and proprietors</v>
      </c>
      <c r="BP83" s="322">
        <f t="shared" si="240"/>
        <v>0.66434228342655555</v>
      </c>
      <c r="BQ83" s="322">
        <f t="shared" si="240"/>
        <v>-1.9062592360169051</v>
      </c>
      <c r="BR83" s="322">
        <f t="shared" si="240"/>
        <v>1.0003028992731533</v>
      </c>
      <c r="BS83" s="322">
        <f t="shared" si="240"/>
        <v>-0.61181221946990938</v>
      </c>
      <c r="BT83" s="322">
        <f t="shared" si="241"/>
        <v>-0.19262126400628743</v>
      </c>
      <c r="BV83" s="322">
        <f t="shared" si="242"/>
        <v>-7.7320070434439003E-2</v>
      </c>
      <c r="BW83" s="322">
        <f t="shared" si="243"/>
        <v>3.1544970288309271</v>
      </c>
      <c r="BX83" s="322">
        <f t="shared" si="244"/>
        <v>3.104541853227416</v>
      </c>
      <c r="BZ83" t="str">
        <f t="shared" ref="BZ83:BZ106" si="261">BD83</f>
        <v>12 Other managers and proprietors</v>
      </c>
      <c r="CA83" s="322">
        <f t="shared" si="245"/>
        <v>-1.5545462290968981</v>
      </c>
      <c r="CB83" s="322">
        <f t="shared" si="245"/>
        <v>0.56221086626964123</v>
      </c>
      <c r="CC83" s="322">
        <f t="shared" si="245"/>
        <v>-2.3596851675112163</v>
      </c>
      <c r="CD83" s="322">
        <f t="shared" si="245"/>
        <v>-3.3637272364596793</v>
      </c>
      <c r="CE83" s="322">
        <f t="shared" si="246"/>
        <v>-2.8094815939092688</v>
      </c>
      <c r="CG83" s="322">
        <f t="shared" si="247"/>
        <v>-3.0301990028984926</v>
      </c>
      <c r="CH83" s="322">
        <f t="shared" si="248"/>
        <v>2.2581968798726759</v>
      </c>
      <c r="CI83" s="322">
        <f t="shared" si="249"/>
        <v>0.18548570055481051</v>
      </c>
      <c r="CK83" t="str">
        <f t="shared" ref="CK83:CK106" si="262">BO83</f>
        <v>12 Other managers and proprietors</v>
      </c>
      <c r="CL83" s="322">
        <f t="shared" si="250"/>
        <v>-2.9713612694997615</v>
      </c>
      <c r="CM83" s="322">
        <f t="shared" si="250"/>
        <v>2.3940970047491739</v>
      </c>
      <c r="CN83" s="322">
        <f t="shared" si="250"/>
        <v>-6.404080534298906</v>
      </c>
      <c r="CO83" s="322">
        <f t="shared" si="250"/>
        <v>-4.0478409843489382</v>
      </c>
      <c r="CP83" s="322">
        <f t="shared" si="251"/>
        <v>-4.4030166363414498</v>
      </c>
      <c r="CR83" s="322">
        <f t="shared" si="252"/>
        <v>-4.8397723100808809</v>
      </c>
      <c r="CS83" s="322">
        <f t="shared" si="253"/>
        <v>1.5095410772345996</v>
      </c>
      <c r="CT83" s="322">
        <f t="shared" si="254"/>
        <v>-2.1017707865385149</v>
      </c>
    </row>
    <row r="84" spans="1:98">
      <c r="A84" t="str">
        <f t="shared" si="209"/>
        <v>21 Science, research, engineering and technology professionals</v>
      </c>
      <c r="B84" s="322">
        <f t="shared" si="210"/>
        <v>6.9938907267181216</v>
      </c>
      <c r="C84" s="322">
        <f t="shared" si="210"/>
        <v>-9.9199442570070175</v>
      </c>
      <c r="D84" s="322">
        <f t="shared" si="210"/>
        <v>7.5736135723249554</v>
      </c>
      <c r="E84" s="322">
        <f t="shared" si="210"/>
        <v>3.7768202889580493</v>
      </c>
      <c r="F84" s="322">
        <f t="shared" si="211"/>
        <v>4.024362872138787</v>
      </c>
      <c r="H84" s="322">
        <f t="shared" si="212"/>
        <v>5.02728986718608</v>
      </c>
      <c r="I84" s="322">
        <f t="shared" si="213"/>
        <v>3.1000572578744334</v>
      </c>
      <c r="J84" s="322">
        <f t="shared" si="214"/>
        <v>6.760598454631972</v>
      </c>
      <c r="L84" t="str">
        <f t="shared" si="255"/>
        <v>21 Science, research, engineering and technology professionals</v>
      </c>
      <c r="M84" s="322">
        <f t="shared" si="215"/>
        <v>7.7482486966418129</v>
      </c>
      <c r="N84" s="322">
        <f t="shared" si="215"/>
        <v>-5.5092214584900763</v>
      </c>
      <c r="O84" s="322">
        <f t="shared" si="215"/>
        <v>8.6171736844844471</v>
      </c>
      <c r="P84" s="322">
        <f t="shared" si="215"/>
        <v>3.9324163850283922</v>
      </c>
      <c r="Q84" s="322">
        <f t="shared" si="216"/>
        <v>4.7489094410781307</v>
      </c>
      <c r="S84" s="322">
        <f t="shared" si="217"/>
        <v>5.4711097643770801</v>
      </c>
      <c r="T84" s="322">
        <f t="shared" si="218"/>
        <v>3.3793871695303679</v>
      </c>
      <c r="U84" s="322">
        <f t="shared" si="219"/>
        <v>7.2807195218893783</v>
      </c>
      <c r="W84" t="str">
        <f t="shared" si="256"/>
        <v>21 Science, research, engineering and technology professionals</v>
      </c>
      <c r="X84" s="322">
        <f t="shared" si="220"/>
        <v>-1.2680321596662769</v>
      </c>
      <c r="Y84" s="322">
        <f t="shared" si="220"/>
        <v>9.4469640019227086</v>
      </c>
      <c r="Z84" s="322">
        <f t="shared" si="220"/>
        <v>3.0808782350908892</v>
      </c>
      <c r="AA84" s="322">
        <f t="shared" si="220"/>
        <v>0.67609612131409591</v>
      </c>
      <c r="AB84" s="322">
        <f t="shared" si="221"/>
        <v>1.9523805921348947</v>
      </c>
      <c r="AD84" s="322">
        <f t="shared" si="222"/>
        <v>1.4713911500549681</v>
      </c>
      <c r="AE84" s="322">
        <f t="shared" si="223"/>
        <v>2.5807536870077197</v>
      </c>
      <c r="AF84" s="322">
        <f t="shared" si="224"/>
        <v>3.6432313526797655</v>
      </c>
      <c r="AH84" t="str">
        <f t="shared" si="257"/>
        <v>21 Science, research, engineering and technology professionals</v>
      </c>
      <c r="AI84" s="322">
        <f t="shared" si="225"/>
        <v>-2.3204934289195789</v>
      </c>
      <c r="AJ84" s="322">
        <f t="shared" si="225"/>
        <v>14.014306967495994</v>
      </c>
      <c r="AK84" s="322">
        <f t="shared" si="225"/>
        <v>2.5416034285476785</v>
      </c>
      <c r="AL84" s="322">
        <f t="shared" si="225"/>
        <v>0.78774933740828335</v>
      </c>
      <c r="AM84" s="322">
        <f t="shared" si="226"/>
        <v>2.1165383052196507</v>
      </c>
      <c r="AO84" s="322">
        <f t="shared" si="227"/>
        <v>1.3690087060610923</v>
      </c>
      <c r="AP84" s="322">
        <f t="shared" si="228"/>
        <v>2.4770345878779576</v>
      </c>
      <c r="AQ84" s="322">
        <f t="shared" si="229"/>
        <v>3.4766382866547652</v>
      </c>
      <c r="AS84" t="str">
        <f t="shared" si="258"/>
        <v>21 Science, research, engineering and technology professionals</v>
      </c>
      <c r="AT84" s="322">
        <f t="shared" si="230"/>
        <v>-1.6101923087802006</v>
      </c>
      <c r="AU84" s="322">
        <f t="shared" si="230"/>
        <v>8.8992687465994536</v>
      </c>
      <c r="AV84" s="322">
        <f t="shared" si="230"/>
        <v>1.3615874296551311</v>
      </c>
      <c r="AW84" s="322">
        <f t="shared" si="230"/>
        <v>-2.2288911777601506E-2</v>
      </c>
      <c r="AX84" s="322">
        <f t="shared" si="231"/>
        <v>0.94597157662870135</v>
      </c>
      <c r="AZ84" s="322">
        <f t="shared" si="232"/>
        <v>0.43689104103343812</v>
      </c>
      <c r="BA84" s="322">
        <f t="shared" si="233"/>
        <v>2.1402079064319901</v>
      </c>
      <c r="BB84" s="322">
        <f t="shared" si="234"/>
        <v>2.4676812399590409</v>
      </c>
      <c r="BD84" t="str">
        <f t="shared" si="259"/>
        <v>21 Science, research, engineering and technology professionals</v>
      </c>
      <c r="BE84" s="322">
        <f t="shared" si="235"/>
        <v>3.9089563815618789</v>
      </c>
      <c r="BF84" s="322">
        <f t="shared" si="235"/>
        <v>6.86382603197635</v>
      </c>
      <c r="BG84" s="322">
        <f t="shared" si="235"/>
        <v>3.1246438112213948</v>
      </c>
      <c r="BH84" s="322">
        <f t="shared" si="235"/>
        <v>0.58682408901189476</v>
      </c>
      <c r="BI84" s="322">
        <f t="shared" si="236"/>
        <v>1.7573700991664776</v>
      </c>
      <c r="BK84" s="322">
        <f t="shared" si="237"/>
        <v>1.4257476759007792</v>
      </c>
      <c r="BL84" s="322">
        <f t="shared" si="238"/>
        <v>2.036165832574488</v>
      </c>
      <c r="BM84" s="322">
        <f t="shared" si="239"/>
        <v>3.1382324598719036</v>
      </c>
      <c r="BO84" t="str">
        <f t="shared" si="260"/>
        <v>21 Science, research, engineering and technology professionals</v>
      </c>
      <c r="BP84" s="322">
        <f t="shared" si="240"/>
        <v>2.9424431164916998</v>
      </c>
      <c r="BQ84" s="322">
        <f t="shared" si="240"/>
        <v>0.68397861742308663</v>
      </c>
      <c r="BR84" s="322">
        <f t="shared" si="240"/>
        <v>3.4490866457413061</v>
      </c>
      <c r="BS84" s="322">
        <f t="shared" si="240"/>
        <v>-0.88315392721440844</v>
      </c>
      <c r="BT84" s="322">
        <f t="shared" si="241"/>
        <v>0.54935194988672276</v>
      </c>
      <c r="BV84" s="322">
        <f t="shared" si="242"/>
        <v>0.54038324181393538</v>
      </c>
      <c r="BW84" s="322">
        <f t="shared" si="243"/>
        <v>2.2364513796203633</v>
      </c>
      <c r="BX84" s="322">
        <f t="shared" si="244"/>
        <v>2.6371060306464411</v>
      </c>
      <c r="BZ84" t="str">
        <f t="shared" si="261"/>
        <v>21 Science, research, engineering and technology professionals</v>
      </c>
      <c r="CA84" s="322">
        <f t="shared" si="245"/>
        <v>0.51631195948964592</v>
      </c>
      <c r="CB84" s="322">
        <f t="shared" si="245"/>
        <v>9.3569641700131925</v>
      </c>
      <c r="CC84" s="322">
        <f t="shared" si="245"/>
        <v>0.3578091952585849</v>
      </c>
      <c r="CD84" s="322">
        <f t="shared" si="245"/>
        <v>-3.4568264909712543</v>
      </c>
      <c r="CE84" s="322">
        <f t="shared" si="246"/>
        <v>-1.5164657187286879</v>
      </c>
      <c r="CG84" s="322">
        <f t="shared" si="247"/>
        <v>-2.2016702462008819</v>
      </c>
      <c r="CH84" s="322">
        <f t="shared" si="248"/>
        <v>1.6998637484186618</v>
      </c>
      <c r="CI84" s="322">
        <f t="shared" si="249"/>
        <v>2.508561114247243E-2</v>
      </c>
      <c r="CK84" t="str">
        <f t="shared" si="262"/>
        <v>21 Science, research, engineering and technology professionals</v>
      </c>
      <c r="CL84" s="322">
        <f t="shared" si="250"/>
        <v>1.835767060485427</v>
      </c>
      <c r="CM84" s="322">
        <f t="shared" si="250"/>
        <v>15.925673870266621</v>
      </c>
      <c r="CN84" s="322">
        <f t="shared" si="250"/>
        <v>-2.2420344171668161</v>
      </c>
      <c r="CO84" s="322">
        <f t="shared" si="250"/>
        <v>-2.0118948635025169</v>
      </c>
      <c r="CP84" s="322">
        <f t="shared" si="251"/>
        <v>-1.0496977917392014</v>
      </c>
      <c r="CR84" s="322">
        <f t="shared" si="252"/>
        <v>-2.08866818396235</v>
      </c>
      <c r="CS84" s="322">
        <f t="shared" si="253"/>
        <v>1.6002159404049365</v>
      </c>
      <c r="CT84" s="322">
        <f t="shared" si="254"/>
        <v>-1.678268452023346E-2</v>
      </c>
    </row>
    <row r="85" spans="1:98">
      <c r="A85" t="str">
        <f t="shared" si="209"/>
        <v>22 Health professionals</v>
      </c>
      <c r="B85" s="322">
        <f t="shared" si="210"/>
        <v>14.751201133888813</v>
      </c>
      <c r="C85" s="322">
        <f t="shared" si="210"/>
        <v>-2.6163974901547205</v>
      </c>
      <c r="D85" s="322">
        <f t="shared" si="210"/>
        <v>5.6769890846187998</v>
      </c>
      <c r="E85" s="322">
        <f t="shared" si="210"/>
        <v>4.0997677029341872</v>
      </c>
      <c r="F85" s="322">
        <f t="shared" si="211"/>
        <v>4.1550543084547531</v>
      </c>
      <c r="H85" s="322">
        <f t="shared" si="212"/>
        <v>4.6228751151672354</v>
      </c>
      <c r="I85" s="322">
        <f t="shared" si="213"/>
        <v>3.6400057675406217</v>
      </c>
      <c r="J85" s="322">
        <f t="shared" si="214"/>
        <v>6.7911983562975786</v>
      </c>
      <c r="L85" t="str">
        <f t="shared" si="255"/>
        <v>22 Health professionals</v>
      </c>
      <c r="M85" s="322">
        <f t="shared" si="215"/>
        <v>14.51120381736677</v>
      </c>
      <c r="N85" s="322">
        <f t="shared" si="215"/>
        <v>-1.0679190583503528</v>
      </c>
      <c r="O85" s="322">
        <f t="shared" si="215"/>
        <v>3.5931661177815988</v>
      </c>
      <c r="P85" s="322">
        <f t="shared" si="215"/>
        <v>3.6240778434071919</v>
      </c>
      <c r="Q85" s="322">
        <f t="shared" si="216"/>
        <v>3.3147826913774825</v>
      </c>
      <c r="S85" s="322">
        <f t="shared" si="217"/>
        <v>3.6137729101215488</v>
      </c>
      <c r="T85" s="322">
        <f t="shared" si="218"/>
        <v>3.471650211677324</v>
      </c>
      <c r="U85" s="322">
        <f t="shared" si="219"/>
        <v>5.9262414462569746</v>
      </c>
      <c r="W85" t="str">
        <f t="shared" si="256"/>
        <v>22 Health professionals</v>
      </c>
      <c r="X85" s="322">
        <f t="shared" si="220"/>
        <v>4.7172187214975292</v>
      </c>
      <c r="Y85" s="322">
        <f t="shared" si="220"/>
        <v>6.1050548078460887</v>
      </c>
      <c r="Z85" s="322">
        <f t="shared" si="220"/>
        <v>-0.27424149215448113</v>
      </c>
      <c r="AA85" s="322">
        <f t="shared" si="220"/>
        <v>0.32764255935611164</v>
      </c>
      <c r="AB85" s="322">
        <f t="shared" si="221"/>
        <v>0.49019308020676888</v>
      </c>
      <c r="AD85" s="322">
        <f t="shared" si="222"/>
        <v>0.12661199815191537</v>
      </c>
      <c r="AE85" s="322">
        <f t="shared" si="223"/>
        <v>3.1086990026799599</v>
      </c>
      <c r="AF85" s="322">
        <f t="shared" si="224"/>
        <v>3.191446021151112</v>
      </c>
      <c r="AH85" t="str">
        <f t="shared" si="257"/>
        <v>22 Health professionals</v>
      </c>
      <c r="AI85" s="322">
        <f t="shared" si="225"/>
        <v>-4.0465022175504295</v>
      </c>
      <c r="AJ85" s="322">
        <f t="shared" si="225"/>
        <v>-2.1991526843493592</v>
      </c>
      <c r="AK85" s="322">
        <f t="shared" si="225"/>
        <v>-11.913271024939654</v>
      </c>
      <c r="AL85" s="322">
        <f t="shared" si="225"/>
        <v>-9.5444547328948026</v>
      </c>
      <c r="AM85" s="322">
        <f t="shared" si="226"/>
        <v>-9.8526557248824744</v>
      </c>
      <c r="AO85" s="322">
        <f t="shared" si="227"/>
        <v>-10.341054858765009</v>
      </c>
      <c r="AP85" s="322">
        <f t="shared" si="228"/>
        <v>1.1137997369577768</v>
      </c>
      <c r="AQ85" s="322">
        <f t="shared" si="229"/>
        <v>-6.325681702606345</v>
      </c>
      <c r="AS85" t="str">
        <f t="shared" si="258"/>
        <v>22 Health professionals</v>
      </c>
      <c r="AT85" s="322">
        <f t="shared" si="230"/>
        <v>2.7809356654066919</v>
      </c>
      <c r="AU85" s="322">
        <f t="shared" si="230"/>
        <v>14.036887903798224</v>
      </c>
      <c r="AV85" s="322">
        <f t="shared" si="230"/>
        <v>-5.6336390450772988E-2</v>
      </c>
      <c r="AW85" s="322">
        <f t="shared" si="230"/>
        <v>0.65531317493867647</v>
      </c>
      <c r="AX85" s="322">
        <f t="shared" si="231"/>
        <v>1.2189424552587091</v>
      </c>
      <c r="AZ85" s="322">
        <f t="shared" si="232"/>
        <v>0.41753539361761849</v>
      </c>
      <c r="BA85" s="322">
        <f t="shared" si="233"/>
        <v>2.8400387354481804</v>
      </c>
      <c r="BB85" s="322">
        <f t="shared" si="234"/>
        <v>3.1249551790972996</v>
      </c>
      <c r="BD85" t="str">
        <f t="shared" si="259"/>
        <v>22 Health professionals</v>
      </c>
      <c r="BE85" s="322">
        <f t="shared" si="235"/>
        <v>8.9726044760354728</v>
      </c>
      <c r="BF85" s="322">
        <f t="shared" si="235"/>
        <v>-8.5589895886520218</v>
      </c>
      <c r="BG85" s="322">
        <f t="shared" si="235"/>
        <v>0.66468235976420154</v>
      </c>
      <c r="BH85" s="322">
        <f t="shared" si="235"/>
        <v>-0.59909890477575223</v>
      </c>
      <c r="BI85" s="322">
        <f t="shared" si="236"/>
        <v>-0.72512092263831152</v>
      </c>
      <c r="BK85" s="322">
        <f t="shared" si="237"/>
        <v>-0.17961127814898337</v>
      </c>
      <c r="BL85" s="322">
        <f t="shared" si="238"/>
        <v>3.0467387423276371</v>
      </c>
      <c r="BM85" s="322">
        <f t="shared" si="239"/>
        <v>2.9292858405973954</v>
      </c>
      <c r="BO85" t="str">
        <f t="shared" si="260"/>
        <v>22 Health professionals</v>
      </c>
      <c r="BP85" s="322">
        <f t="shared" si="240"/>
        <v>6.2713304559111727</v>
      </c>
      <c r="BQ85" s="322">
        <f t="shared" si="240"/>
        <v>-16.757938827485773</v>
      </c>
      <c r="BR85" s="322">
        <f t="shared" si="240"/>
        <v>0.20865564009842075</v>
      </c>
      <c r="BS85" s="322">
        <f t="shared" si="240"/>
        <v>-2.124469738816126</v>
      </c>
      <c r="BT85" s="322">
        <f t="shared" si="241"/>
        <v>-2.3941960956763375</v>
      </c>
      <c r="BV85" s="322">
        <f t="shared" si="242"/>
        <v>-1.3528603081167989</v>
      </c>
      <c r="BW85" s="322">
        <f t="shared" si="243"/>
        <v>2.7366172325090199</v>
      </c>
      <c r="BX85" s="322">
        <f t="shared" si="244"/>
        <v>1.8396217421079886</v>
      </c>
      <c r="BZ85" t="str">
        <f t="shared" si="261"/>
        <v>22 Health professionals</v>
      </c>
      <c r="CA85" s="322">
        <f t="shared" si="245"/>
        <v>5.3882634358449977</v>
      </c>
      <c r="CB85" s="322">
        <f t="shared" si="245"/>
        <v>-23.889986942420581</v>
      </c>
      <c r="CC85" s="322">
        <f t="shared" si="245"/>
        <v>-4.1149087691349395</v>
      </c>
      <c r="CD85" s="322">
        <f t="shared" si="245"/>
        <v>-6.998207490207486</v>
      </c>
      <c r="CE85" s="322">
        <f t="shared" si="246"/>
        <v>-7.2755211511348117</v>
      </c>
      <c r="CG85" s="322">
        <f t="shared" si="247"/>
        <v>-6.0468725046261103</v>
      </c>
      <c r="CH85" s="322">
        <f t="shared" si="248"/>
        <v>1.7437546594041953</v>
      </c>
      <c r="CI85" s="322">
        <f t="shared" si="249"/>
        <v>-2.458702596102047</v>
      </c>
      <c r="CK85" t="str">
        <f t="shared" si="262"/>
        <v>22 Health professionals</v>
      </c>
      <c r="CL85" s="322">
        <f t="shared" si="250"/>
        <v>3.6232237065804807</v>
      </c>
      <c r="CM85" s="322">
        <f t="shared" si="250"/>
        <v>27.147900670370852</v>
      </c>
      <c r="CN85" s="322">
        <f t="shared" si="250"/>
        <v>-8.5511325849092383</v>
      </c>
      <c r="CO85" s="322">
        <f t="shared" si="250"/>
        <v>-1.6476809615447285</v>
      </c>
      <c r="CP85" s="322">
        <f t="shared" si="251"/>
        <v>-2.3037416771439001</v>
      </c>
      <c r="CR85" s="322">
        <f t="shared" si="252"/>
        <v>-4.0048746404951707</v>
      </c>
      <c r="CS85" s="322">
        <f t="shared" si="253"/>
        <v>1.6710662073652571</v>
      </c>
      <c r="CT85" s="322">
        <f t="shared" si="254"/>
        <v>-1.2831667264674884</v>
      </c>
    </row>
    <row r="86" spans="1:98">
      <c r="A86" t="str">
        <f t="shared" si="209"/>
        <v>23 Teaching and other educational professionals</v>
      </c>
      <c r="B86" s="322">
        <f t="shared" si="210"/>
        <v>5.8861870723007303</v>
      </c>
      <c r="C86" s="322">
        <f t="shared" si="210"/>
        <v>3.3071495083225155</v>
      </c>
      <c r="D86" s="322">
        <f t="shared" si="210"/>
        <v>2.8425309567125412</v>
      </c>
      <c r="E86" s="322">
        <f t="shared" si="210"/>
        <v>2.3236539082388097</v>
      </c>
      <c r="F86" s="322">
        <f t="shared" si="211"/>
        <v>2.5468111832956497</v>
      </c>
      <c r="H86" s="322">
        <f t="shared" si="212"/>
        <v>2.4963213903448356</v>
      </c>
      <c r="I86" s="322">
        <f t="shared" si="213"/>
        <v>3.2018919047414496</v>
      </c>
      <c r="J86" s="322">
        <f t="shared" si="214"/>
        <v>4.9085278633253182</v>
      </c>
      <c r="L86" t="str">
        <f t="shared" si="255"/>
        <v>23 Teaching and other educational professionals</v>
      </c>
      <c r="M86" s="322">
        <f t="shared" si="215"/>
        <v>7.0290285619480475</v>
      </c>
      <c r="N86" s="322">
        <f t="shared" si="215"/>
        <v>4.5133571796346805</v>
      </c>
      <c r="O86" s="322">
        <f t="shared" si="215"/>
        <v>2.5615179317618253</v>
      </c>
      <c r="P86" s="322">
        <f t="shared" si="215"/>
        <v>2.2586216009248261</v>
      </c>
      <c r="Q86" s="322">
        <f t="shared" si="216"/>
        <v>2.4927943454817081</v>
      </c>
      <c r="S86" s="322">
        <f t="shared" si="217"/>
        <v>2.3594875196411458</v>
      </c>
      <c r="T86" s="322">
        <f t="shared" si="218"/>
        <v>3.2477006270575481</v>
      </c>
      <c r="U86" s="322">
        <f t="shared" si="219"/>
        <v>4.8469165184588547</v>
      </c>
      <c r="W86" t="str">
        <f t="shared" si="256"/>
        <v>23 Teaching and other educational professionals</v>
      </c>
      <c r="X86" s="322">
        <f t="shared" si="220"/>
        <v>-5.5369034190533846</v>
      </c>
      <c r="Y86" s="322">
        <f t="shared" si="220"/>
        <v>12.430421515641953</v>
      </c>
      <c r="Z86" s="322">
        <f t="shared" si="220"/>
        <v>-5.1587903390247885</v>
      </c>
      <c r="AA86" s="322">
        <f t="shared" si="220"/>
        <v>-3.4298549026511194</v>
      </c>
      <c r="AB86" s="322">
        <f t="shared" si="221"/>
        <v>-3.0565142630557984</v>
      </c>
      <c r="AD86" s="322">
        <f t="shared" si="222"/>
        <v>-4.0096406537495906</v>
      </c>
      <c r="AE86" s="322">
        <f t="shared" si="223"/>
        <v>2.2129198212684997</v>
      </c>
      <c r="AF86" s="322">
        <f t="shared" si="224"/>
        <v>-0.48333832715772296</v>
      </c>
      <c r="AH86" t="str">
        <f t="shared" si="257"/>
        <v>23 Teaching and other educational professionals</v>
      </c>
      <c r="AI86" s="322">
        <f t="shared" si="225"/>
        <v>-16.432258126258105</v>
      </c>
      <c r="AJ86" s="322">
        <f t="shared" si="225"/>
        <v>-1.857734312585857</v>
      </c>
      <c r="AK86" s="322">
        <f t="shared" si="225"/>
        <v>-12.273310968424934</v>
      </c>
      <c r="AL86" s="322">
        <f t="shared" si="225"/>
        <v>-0.12580520837558451</v>
      </c>
      <c r="AM86" s="322">
        <f t="shared" si="226"/>
        <v>-4.1972489980466987</v>
      </c>
      <c r="AO86" s="322">
        <f t="shared" si="227"/>
        <v>-4.3512188564036265</v>
      </c>
      <c r="AP86" s="322">
        <f t="shared" si="228"/>
        <v>1.0263277037588781</v>
      </c>
      <c r="AQ86" s="322">
        <f t="shared" si="229"/>
        <v>-2.5516601684014928</v>
      </c>
      <c r="AS86" t="str">
        <f t="shared" si="258"/>
        <v>23 Teaching and other educational professionals</v>
      </c>
      <c r="AT86" s="322">
        <f t="shared" si="230"/>
        <v>-5.755274262140853</v>
      </c>
      <c r="AU86" s="322">
        <f t="shared" si="230"/>
        <v>14.970940658102583</v>
      </c>
      <c r="AV86" s="322">
        <f t="shared" si="230"/>
        <v>-5.7220217265524065</v>
      </c>
      <c r="AW86" s="322">
        <f t="shared" si="230"/>
        <v>-2.1940071911485837</v>
      </c>
      <c r="AX86" s="322">
        <f t="shared" si="231"/>
        <v>-2.3283829477600881</v>
      </c>
      <c r="AZ86" s="322">
        <f t="shared" si="232"/>
        <v>-3.3844425092843688</v>
      </c>
      <c r="BA86" s="322">
        <f t="shared" si="233"/>
        <v>2.0280814317191309</v>
      </c>
      <c r="BB86" s="322">
        <f t="shared" si="234"/>
        <v>-0.35489439302054393</v>
      </c>
      <c r="BD86" t="str">
        <f t="shared" si="259"/>
        <v>23 Teaching and other educational professionals</v>
      </c>
      <c r="BE86" s="322">
        <f t="shared" si="235"/>
        <v>0.64525171020608507</v>
      </c>
      <c r="BF86" s="322">
        <f t="shared" si="235"/>
        <v>8.5067263789028402</v>
      </c>
      <c r="BG86" s="322">
        <f t="shared" si="235"/>
        <v>-2.0385934224948277</v>
      </c>
      <c r="BH86" s="322">
        <f t="shared" si="235"/>
        <v>6.1075011388700418E-2</v>
      </c>
      <c r="BI86" s="322">
        <f t="shared" si="236"/>
        <v>-9.5175681741321849E-2</v>
      </c>
      <c r="BK86" s="322">
        <f t="shared" si="237"/>
        <v>-0.64376781019610529</v>
      </c>
      <c r="BL86" s="322">
        <f t="shared" si="238"/>
        <v>2.2741560906831548</v>
      </c>
      <c r="BM86" s="322">
        <f t="shared" si="239"/>
        <v>1.8104171640827449</v>
      </c>
      <c r="BO86" t="str">
        <f t="shared" si="260"/>
        <v>23 Teaching and other educational professionals</v>
      </c>
      <c r="BP86" s="322">
        <f t="shared" si="240"/>
        <v>-7.3658082019845139E-2</v>
      </c>
      <c r="BQ86" s="322">
        <f t="shared" si="240"/>
        <v>-9.7393216670852212</v>
      </c>
      <c r="BR86" s="322">
        <f t="shared" si="240"/>
        <v>-2.1930551472587045</v>
      </c>
      <c r="BS86" s="322">
        <f t="shared" si="240"/>
        <v>-2.759317251058846</v>
      </c>
      <c r="BT86" s="322">
        <f t="shared" si="241"/>
        <v>-3.0351810532469714</v>
      </c>
      <c r="BV86" s="322">
        <f t="shared" si="242"/>
        <v>-2.5709284264435639</v>
      </c>
      <c r="BW86" s="322">
        <f t="shared" si="243"/>
        <v>2.4352420326710034</v>
      </c>
      <c r="BX86" s="322">
        <f t="shared" si="244"/>
        <v>0.70558231929602755</v>
      </c>
      <c r="BZ86" t="str">
        <f t="shared" si="261"/>
        <v>23 Teaching and other educational professionals</v>
      </c>
      <c r="CA86" s="322">
        <f t="shared" si="245"/>
        <v>-0.78999429051425096</v>
      </c>
      <c r="CB86" s="322">
        <f t="shared" si="245"/>
        <v>0.71390976665512973</v>
      </c>
      <c r="CC86" s="322">
        <f t="shared" si="245"/>
        <v>-4.6786923490582328</v>
      </c>
      <c r="CD86" s="322">
        <f t="shared" si="245"/>
        <v>-5.5604837115232675</v>
      </c>
      <c r="CE86" s="322">
        <f t="shared" si="246"/>
        <v>-4.9042605949690117</v>
      </c>
      <c r="CG86" s="322">
        <f t="shared" si="247"/>
        <v>-5.2674633607912806</v>
      </c>
      <c r="CH86" s="322">
        <f t="shared" si="248"/>
        <v>1.8977876702208407</v>
      </c>
      <c r="CI86" s="322">
        <f t="shared" si="249"/>
        <v>-1.7283053594449038</v>
      </c>
      <c r="CK86" t="str">
        <f t="shared" si="262"/>
        <v>23 Teaching and other educational professionals</v>
      </c>
      <c r="CL86" s="322">
        <f t="shared" si="250"/>
        <v>1.3907647437557014</v>
      </c>
      <c r="CM86" s="322">
        <f t="shared" si="250"/>
        <v>38.558305927159012</v>
      </c>
      <c r="CN86" s="322">
        <f t="shared" si="250"/>
        <v>-7.2744606439866688</v>
      </c>
      <c r="CO86" s="322">
        <f t="shared" si="250"/>
        <v>-2.1464661717549349</v>
      </c>
      <c r="CP86" s="322">
        <f t="shared" si="251"/>
        <v>-1.6640859018790977</v>
      </c>
      <c r="CR86" s="322">
        <f t="shared" si="252"/>
        <v>-3.8865576158440551</v>
      </c>
      <c r="CS86" s="322">
        <f t="shared" si="253"/>
        <v>1.7645800008566415</v>
      </c>
      <c r="CT86" s="322">
        <f t="shared" si="254"/>
        <v>-1.0637070747496424</v>
      </c>
    </row>
    <row r="87" spans="1:98">
      <c r="A87" t="str">
        <f t="shared" si="209"/>
        <v>24 Business, media and public service professionals</v>
      </c>
      <c r="B87" s="322">
        <f t="shared" si="210"/>
        <v>8.6434554894916804</v>
      </c>
      <c r="C87" s="322">
        <f t="shared" si="210"/>
        <v>1.5677422065409674</v>
      </c>
      <c r="D87" s="322">
        <f t="shared" si="210"/>
        <v>5.5512857078835909</v>
      </c>
      <c r="E87" s="322">
        <f t="shared" si="210"/>
        <v>4.4404555604306228</v>
      </c>
      <c r="F87" s="322">
        <f t="shared" si="211"/>
        <v>4.6038244713797249</v>
      </c>
      <c r="H87" s="322">
        <f t="shared" si="212"/>
        <v>4.8094272225009727</v>
      </c>
      <c r="I87" s="322">
        <f t="shared" si="213"/>
        <v>3.660576603504051</v>
      </c>
      <c r="J87" s="322">
        <f t="shared" si="214"/>
        <v>6.944927729130046</v>
      </c>
      <c r="L87" t="str">
        <f t="shared" si="255"/>
        <v>24 Business, media and public service professionals</v>
      </c>
      <c r="M87" s="322">
        <f t="shared" si="215"/>
        <v>9.8198036830496882</v>
      </c>
      <c r="N87" s="322">
        <f t="shared" si="215"/>
        <v>0.46625406952254256</v>
      </c>
      <c r="O87" s="322">
        <f t="shared" si="215"/>
        <v>4.224129790001574</v>
      </c>
      <c r="P87" s="322">
        <f t="shared" si="215"/>
        <v>3.3599310714242936</v>
      </c>
      <c r="Q87" s="322">
        <f t="shared" si="216"/>
        <v>3.4454711044134667</v>
      </c>
      <c r="S87" s="322">
        <f t="shared" si="217"/>
        <v>3.647198173044286</v>
      </c>
      <c r="T87" s="322">
        <f t="shared" si="218"/>
        <v>3.3755059182196234</v>
      </c>
      <c r="U87" s="322">
        <f t="shared" si="219"/>
        <v>5.881913090496993</v>
      </c>
      <c r="W87" t="str">
        <f t="shared" si="256"/>
        <v>24 Business, media and public service professionals</v>
      </c>
      <c r="X87" s="322">
        <f t="shared" si="220"/>
        <v>-0.14913940666180237</v>
      </c>
      <c r="Y87" s="322">
        <f t="shared" si="220"/>
        <v>17.767558256338688</v>
      </c>
      <c r="Z87" s="322">
        <f t="shared" si="220"/>
        <v>0.14248540692991529</v>
      </c>
      <c r="AA87" s="322">
        <f t="shared" si="220"/>
        <v>0.77907407966069098</v>
      </c>
      <c r="AB87" s="322">
        <f t="shared" si="221"/>
        <v>1.5637718394491351</v>
      </c>
      <c r="AD87" s="322">
        <f t="shared" si="222"/>
        <v>0.56642948933549597</v>
      </c>
      <c r="AE87" s="322">
        <f t="shared" si="223"/>
        <v>2.926953848631908</v>
      </c>
      <c r="AF87" s="322">
        <f t="shared" si="224"/>
        <v>3.3103774717899048</v>
      </c>
      <c r="AH87" t="str">
        <f t="shared" si="257"/>
        <v>24 Business, media and public service professionals</v>
      </c>
      <c r="AI87" s="322">
        <f t="shared" si="225"/>
        <v>-2.4176249217515156</v>
      </c>
      <c r="AJ87" s="322">
        <f t="shared" si="225"/>
        <v>19.401894890612503</v>
      </c>
      <c r="AK87" s="322">
        <f t="shared" si="225"/>
        <v>-2.3144682086913893</v>
      </c>
      <c r="AL87" s="322">
        <f t="shared" si="225"/>
        <v>0.20717576666837711</v>
      </c>
      <c r="AM87" s="322">
        <f t="shared" si="226"/>
        <v>0.50714037690435809</v>
      </c>
      <c r="AO87" s="322">
        <f t="shared" si="227"/>
        <v>-0.64052308059037166</v>
      </c>
      <c r="AP87" s="322">
        <f t="shared" si="228"/>
        <v>2.0034754937488852</v>
      </c>
      <c r="AQ87" s="322">
        <f t="shared" si="229"/>
        <v>1.5239714762526502</v>
      </c>
      <c r="AS87" t="str">
        <f t="shared" si="258"/>
        <v>24 Business, media and public service professionals</v>
      </c>
      <c r="AT87" s="322">
        <f t="shared" si="230"/>
        <v>-1.3567240675602443</v>
      </c>
      <c r="AU87" s="322">
        <f t="shared" si="230"/>
        <v>17.779607035162282</v>
      </c>
      <c r="AV87" s="322">
        <f t="shared" si="230"/>
        <v>-0.14359507663658233</v>
      </c>
      <c r="AW87" s="322">
        <f t="shared" si="230"/>
        <v>0.76218756166468449</v>
      </c>
      <c r="AX87" s="322">
        <f t="shared" si="231"/>
        <v>1.4630353594933698</v>
      </c>
      <c r="AZ87" s="322">
        <f t="shared" si="232"/>
        <v>0.4593507632781435</v>
      </c>
      <c r="BA87" s="322">
        <f t="shared" si="233"/>
        <v>2.712298961390891</v>
      </c>
      <c r="BB87" s="322">
        <f t="shared" si="234"/>
        <v>3.0314363637446107</v>
      </c>
      <c r="BD87" t="str">
        <f t="shared" si="259"/>
        <v>24 Business, media and public service professionals</v>
      </c>
      <c r="BE87" s="322">
        <f t="shared" si="235"/>
        <v>5.0973051096792288</v>
      </c>
      <c r="BF87" s="322">
        <f t="shared" si="235"/>
        <v>10.448056819715724</v>
      </c>
      <c r="BG87" s="322">
        <f t="shared" si="235"/>
        <v>1.1343445128517482</v>
      </c>
      <c r="BH87" s="322">
        <f t="shared" si="235"/>
        <v>0.89246197655667991</v>
      </c>
      <c r="BI87" s="322">
        <f t="shared" si="236"/>
        <v>1.5406437309209764</v>
      </c>
      <c r="BK87" s="322">
        <f t="shared" si="237"/>
        <v>0.97302514141885954</v>
      </c>
      <c r="BL87" s="322">
        <f t="shared" si="238"/>
        <v>2.5497561476055086</v>
      </c>
      <c r="BM87" s="322">
        <f t="shared" si="239"/>
        <v>3.2480520433331828</v>
      </c>
      <c r="BO87" t="str">
        <f t="shared" si="260"/>
        <v>24 Business, media and public service professionals</v>
      </c>
      <c r="BP87" s="322">
        <f t="shared" si="240"/>
        <v>2.0778490422185936</v>
      </c>
      <c r="BQ87" s="322">
        <f t="shared" si="240"/>
        <v>-1.7800850549996583</v>
      </c>
      <c r="BR87" s="322">
        <f t="shared" si="240"/>
        <v>-0.28395620385780473</v>
      </c>
      <c r="BS87" s="322">
        <f t="shared" si="240"/>
        <v>-1.5223521796060346</v>
      </c>
      <c r="BT87" s="322">
        <f t="shared" si="241"/>
        <v>-1.153205826760928</v>
      </c>
      <c r="BV87" s="322">
        <f t="shared" si="242"/>
        <v>-1.111271902151123</v>
      </c>
      <c r="BW87" s="322">
        <f t="shared" si="243"/>
        <v>2.3143798644350344</v>
      </c>
      <c r="BX87" s="322">
        <f t="shared" si="244"/>
        <v>1.5264250765122389</v>
      </c>
      <c r="BZ87" t="str">
        <f t="shared" si="261"/>
        <v>24 Business, media and public service professionals</v>
      </c>
      <c r="CA87" s="322">
        <f t="shared" si="245"/>
        <v>0.9280000967226476</v>
      </c>
      <c r="CB87" s="322">
        <f t="shared" si="245"/>
        <v>5.6334181521714877</v>
      </c>
      <c r="CC87" s="322">
        <f t="shared" si="245"/>
        <v>-3.2018023052155176</v>
      </c>
      <c r="CD87" s="322">
        <f t="shared" si="245"/>
        <v>-4.52514556860325</v>
      </c>
      <c r="CE87" s="322">
        <f t="shared" si="246"/>
        <v>-3.505683634003931</v>
      </c>
      <c r="CG87" s="322">
        <f t="shared" si="247"/>
        <v>-4.0860536411350123</v>
      </c>
      <c r="CH87" s="322">
        <f t="shared" si="248"/>
        <v>1.7643393166028476</v>
      </c>
      <c r="CI87" s="322">
        <f t="shared" si="249"/>
        <v>-1.1964124749315186</v>
      </c>
      <c r="CK87" t="str">
        <f t="shared" si="262"/>
        <v>24 Business, media and public service professionals</v>
      </c>
      <c r="CL87" s="322">
        <f t="shared" si="250"/>
        <v>0.5915676585372287</v>
      </c>
      <c r="CM87" s="322">
        <f t="shared" si="250"/>
        <v>21.630837353325649</v>
      </c>
      <c r="CN87" s="322">
        <f t="shared" si="250"/>
        <v>-6.4339883501635775</v>
      </c>
      <c r="CO87" s="322">
        <f t="shared" si="250"/>
        <v>-2.7273118554131393</v>
      </c>
      <c r="CP87" s="322">
        <f t="shared" si="251"/>
        <v>-2.5495236295437151</v>
      </c>
      <c r="CR87" s="322">
        <f t="shared" si="252"/>
        <v>-3.9789056972928449</v>
      </c>
      <c r="CS87" s="322">
        <f t="shared" si="253"/>
        <v>1.5168793251565393</v>
      </c>
      <c r="CT87" s="322">
        <f t="shared" si="254"/>
        <v>-1.4993907228672332</v>
      </c>
    </row>
    <row r="88" spans="1:98">
      <c r="A88" t="str">
        <f t="shared" si="209"/>
        <v>31 Science, engineering and technology associate professionals</v>
      </c>
      <c r="B88" s="322">
        <f t="shared" si="210"/>
        <v>6.439265575065356</v>
      </c>
      <c r="C88" s="322">
        <f t="shared" si="210"/>
        <v>-5.1120433157411993</v>
      </c>
      <c r="D88" s="322">
        <f t="shared" si="210"/>
        <v>4.6297796405427416</v>
      </c>
      <c r="E88" s="322">
        <f t="shared" si="210"/>
        <v>5.203699520022731</v>
      </c>
      <c r="F88" s="322">
        <f t="shared" si="211"/>
        <v>4.3487763381304001</v>
      </c>
      <c r="H88" s="322">
        <f t="shared" si="212"/>
        <v>5.0120439557068908</v>
      </c>
      <c r="I88" s="322">
        <f t="shared" si="213"/>
        <v>3.4383229745793997</v>
      </c>
      <c r="J88" s="322">
        <f t="shared" si="214"/>
        <v>6.9582920651502178</v>
      </c>
      <c r="L88" t="str">
        <f t="shared" si="255"/>
        <v>31 Science, engineering and technology associate professionals</v>
      </c>
      <c r="M88" s="322">
        <f t="shared" si="215"/>
        <v>8.4708807831488819</v>
      </c>
      <c r="N88" s="322">
        <f t="shared" si="215"/>
        <v>-4.8837389558516575</v>
      </c>
      <c r="O88" s="322">
        <f t="shared" si="215"/>
        <v>2.4919023073033175</v>
      </c>
      <c r="P88" s="322">
        <f t="shared" si="215"/>
        <v>3.5443755661038523</v>
      </c>
      <c r="Q88" s="322">
        <f t="shared" si="216"/>
        <v>2.6680892857166905</v>
      </c>
      <c r="S88" s="322">
        <f t="shared" si="217"/>
        <v>3.1923557408747971</v>
      </c>
      <c r="T88" s="322">
        <f t="shared" si="218"/>
        <v>2.8346740233495593</v>
      </c>
      <c r="U88" s="322">
        <f t="shared" si="219"/>
        <v>5.1471491581127848</v>
      </c>
      <c r="W88" t="str">
        <f t="shared" si="256"/>
        <v>31 Science, engineering and technology associate professionals</v>
      </c>
      <c r="X88" s="322">
        <f t="shared" si="220"/>
        <v>-0.68248529036049055</v>
      </c>
      <c r="Y88" s="322">
        <f t="shared" si="220"/>
        <v>10.259712118080277</v>
      </c>
      <c r="Z88" s="322">
        <f t="shared" si="220"/>
        <v>-0.9681224048860515</v>
      </c>
      <c r="AA88" s="322">
        <f t="shared" si="220"/>
        <v>0.95964706469866545</v>
      </c>
      <c r="AB88" s="322">
        <f t="shared" si="221"/>
        <v>0.90742755691726185</v>
      </c>
      <c r="AD88" s="322">
        <f t="shared" si="222"/>
        <v>0.3129233273024612</v>
      </c>
      <c r="AE88" s="322">
        <f t="shared" si="223"/>
        <v>2.4455192143636895</v>
      </c>
      <c r="AF88" s="322">
        <f t="shared" si="224"/>
        <v>2.6701127374190392</v>
      </c>
      <c r="AH88" t="str">
        <f t="shared" si="257"/>
        <v>31 Science, engineering and technology associate professionals</v>
      </c>
      <c r="AI88" s="322">
        <f t="shared" si="225"/>
        <v>1.1547043747125452</v>
      </c>
      <c r="AJ88" s="322">
        <f t="shared" si="225"/>
        <v>17.200103840409753</v>
      </c>
      <c r="AK88" s="322">
        <f t="shared" si="225"/>
        <v>4.773713143206848E-2</v>
      </c>
      <c r="AL88" s="322">
        <f t="shared" si="225"/>
        <v>2.4851109210439981</v>
      </c>
      <c r="AM88" s="322">
        <f t="shared" si="226"/>
        <v>2.5736373905051568</v>
      </c>
      <c r="AO88" s="322">
        <f t="shared" si="227"/>
        <v>1.6661257004472629</v>
      </c>
      <c r="AP88" s="322">
        <f t="shared" si="228"/>
        <v>2.7564118608802257</v>
      </c>
      <c r="AQ88" s="322">
        <f t="shared" si="229"/>
        <v>3.9379220530007197</v>
      </c>
      <c r="AS88" t="str">
        <f t="shared" si="258"/>
        <v>31 Science, engineering and technology associate professionals</v>
      </c>
      <c r="AT88" s="322">
        <f t="shared" si="230"/>
        <v>-1.5727406645812514</v>
      </c>
      <c r="AU88" s="322">
        <f t="shared" si="230"/>
        <v>8.1543460130677694</v>
      </c>
      <c r="AV88" s="322">
        <f t="shared" si="230"/>
        <v>-3.420838169109075</v>
      </c>
      <c r="AW88" s="322">
        <f t="shared" si="230"/>
        <v>-0.2200815362895403</v>
      </c>
      <c r="AX88" s="322">
        <f t="shared" si="231"/>
        <v>-0.73279671110078048</v>
      </c>
      <c r="AZ88" s="322">
        <f t="shared" si="232"/>
        <v>-1.2986164420756507</v>
      </c>
      <c r="BA88" s="322">
        <f t="shared" si="233"/>
        <v>1.85759107992991</v>
      </c>
      <c r="BB88" s="322">
        <f t="shared" si="234"/>
        <v>0.87683118417234418</v>
      </c>
      <c r="BD88" t="str">
        <f t="shared" si="259"/>
        <v>31 Science, engineering and technology associate professionals</v>
      </c>
      <c r="BE88" s="322">
        <f t="shared" si="235"/>
        <v>0.22395300641597782</v>
      </c>
      <c r="BF88" s="322">
        <f t="shared" si="235"/>
        <v>8.0137902080043233</v>
      </c>
      <c r="BG88" s="322">
        <f t="shared" si="235"/>
        <v>-3.0809500648839472</v>
      </c>
      <c r="BH88" s="322">
        <f t="shared" si="235"/>
        <v>-1.3790921067799555</v>
      </c>
      <c r="BI88" s="322">
        <f t="shared" si="236"/>
        <v>-1.3548058610392766</v>
      </c>
      <c r="BK88" s="322">
        <f t="shared" si="237"/>
        <v>-1.9496728764880178</v>
      </c>
      <c r="BL88" s="322">
        <f t="shared" si="238"/>
        <v>1.6741773888524047</v>
      </c>
      <c r="BM88" s="322">
        <f t="shared" si="239"/>
        <v>0.17830407055916542</v>
      </c>
      <c r="BO88" t="str">
        <f t="shared" si="260"/>
        <v>31 Science, engineering and technology associate professionals</v>
      </c>
      <c r="BP88" s="322">
        <f t="shared" si="240"/>
        <v>3.4325399121748257</v>
      </c>
      <c r="BQ88" s="322">
        <f t="shared" si="240"/>
        <v>2.1547600011656565</v>
      </c>
      <c r="BR88" s="322">
        <f t="shared" si="240"/>
        <v>-1.0098646649748799</v>
      </c>
      <c r="BS88" s="322">
        <f t="shared" si="240"/>
        <v>-0.39836593424632527</v>
      </c>
      <c r="BT88" s="322">
        <f t="shared" si="241"/>
        <v>-0.43248296005491405</v>
      </c>
      <c r="BV88" s="322">
        <f t="shared" si="242"/>
        <v>-0.60261741341998132</v>
      </c>
      <c r="BW88" s="322">
        <f t="shared" si="243"/>
        <v>2.0769193834082156</v>
      </c>
      <c r="BX88" s="322">
        <f t="shared" si="244"/>
        <v>1.630147712915031</v>
      </c>
      <c r="BZ88" t="str">
        <f t="shared" si="261"/>
        <v>31 Science, engineering and technology associate professionals</v>
      </c>
      <c r="CA88" s="322">
        <f t="shared" si="245"/>
        <v>0.99539563088768546</v>
      </c>
      <c r="CB88" s="322">
        <f t="shared" si="245"/>
        <v>16.120006956486698</v>
      </c>
      <c r="CC88" s="322">
        <f t="shared" si="245"/>
        <v>-4.774463247740746</v>
      </c>
      <c r="CD88" s="322">
        <f t="shared" si="245"/>
        <v>-2.5848394711853517</v>
      </c>
      <c r="CE88" s="322">
        <f t="shared" si="246"/>
        <v>-2.2067832989744129</v>
      </c>
      <c r="CG88" s="322">
        <f t="shared" si="247"/>
        <v>-3.3202519128927133</v>
      </c>
      <c r="CH88" s="322">
        <f t="shared" si="248"/>
        <v>1.5928666498073119</v>
      </c>
      <c r="CI88" s="322">
        <f t="shared" si="249"/>
        <v>-0.92331534882920119</v>
      </c>
      <c r="CK88" t="str">
        <f t="shared" si="262"/>
        <v>31 Science, engineering and technology associate professionals</v>
      </c>
      <c r="CL88" s="322">
        <f t="shared" si="250"/>
        <v>2.0146718281228493</v>
      </c>
      <c r="CM88" s="322">
        <f t="shared" si="250"/>
        <v>31.848821037891796</v>
      </c>
      <c r="CN88" s="322">
        <f t="shared" si="250"/>
        <v>-4.6910718021049398</v>
      </c>
      <c r="CO88" s="322">
        <f t="shared" si="250"/>
        <v>1.1552690696277512</v>
      </c>
      <c r="CP88" s="322">
        <f t="shared" si="251"/>
        <v>0.94895549589553152</v>
      </c>
      <c r="CR88" s="322">
        <f t="shared" si="252"/>
        <v>-0.83230892643829657</v>
      </c>
      <c r="CS88" s="322">
        <f t="shared" si="253"/>
        <v>1.9023554910414742</v>
      </c>
      <c r="CT88" s="322">
        <f t="shared" si="254"/>
        <v>1.2724514064780035</v>
      </c>
    </row>
    <row r="89" spans="1:98">
      <c r="A89" t="str">
        <f t="shared" si="209"/>
        <v>32 Health and social care associate professionals</v>
      </c>
      <c r="B89" s="322">
        <f t="shared" si="210"/>
        <v>11.368047108057011</v>
      </c>
      <c r="C89" s="322">
        <f t="shared" si="210"/>
        <v>-10.587116050005662</v>
      </c>
      <c r="D89" s="322">
        <f t="shared" si="210"/>
        <v>16.687129593628281</v>
      </c>
      <c r="E89" s="322">
        <f t="shared" si="210"/>
        <v>7.941175499667108</v>
      </c>
      <c r="F89" s="322">
        <f t="shared" si="211"/>
        <v>9.3072944730543163</v>
      </c>
      <c r="H89" s="322">
        <f t="shared" si="212"/>
        <v>10.781119031809361</v>
      </c>
      <c r="I89" s="322">
        <f t="shared" si="213"/>
        <v>6.5357371557322574</v>
      </c>
      <c r="J89" s="322">
        <f t="shared" si="214"/>
        <v>12.970497694407923</v>
      </c>
      <c r="L89" t="str">
        <f t="shared" si="255"/>
        <v>32 Health and social care associate professionals</v>
      </c>
      <c r="M89" s="322">
        <f t="shared" si="215"/>
        <v>14.30113956263539</v>
      </c>
      <c r="N89" s="322">
        <f t="shared" si="215"/>
        <v>2.2453586643777612</v>
      </c>
      <c r="O89" s="322">
        <f t="shared" si="215"/>
        <v>15.87964755401865</v>
      </c>
      <c r="P89" s="322">
        <f t="shared" si="215"/>
        <v>6.6573784436984029</v>
      </c>
      <c r="Q89" s="322">
        <f t="shared" si="216"/>
        <v>9.168986884824637</v>
      </c>
      <c r="S89" s="322">
        <f t="shared" si="217"/>
        <v>9.6468918071585428</v>
      </c>
      <c r="T89" s="322">
        <f t="shared" si="218"/>
        <v>6.0168288430765937</v>
      </c>
      <c r="U89" s="322">
        <f t="shared" si="219"/>
        <v>11.875267971251047</v>
      </c>
      <c r="W89" t="str">
        <f t="shared" si="256"/>
        <v>32 Health and social care associate professionals</v>
      </c>
      <c r="X89" s="322">
        <f t="shared" si="220"/>
        <v>5.1658933890398551</v>
      </c>
      <c r="Y89" s="322">
        <f t="shared" si="220"/>
        <v>11.034066408799736</v>
      </c>
      <c r="Z89" s="322">
        <f t="shared" si="220"/>
        <v>11.483204415717886</v>
      </c>
      <c r="AA89" s="322">
        <f t="shared" si="220"/>
        <v>2.5984189497153753</v>
      </c>
      <c r="AB89" s="322">
        <f t="shared" si="221"/>
        <v>5.8173506936232799</v>
      </c>
      <c r="AD89" s="322">
        <f t="shared" si="222"/>
        <v>5.4784145630589975</v>
      </c>
      <c r="AE89" s="322">
        <f t="shared" si="223"/>
        <v>5.3522299557808184</v>
      </c>
      <c r="AF89" s="322">
        <f t="shared" si="224"/>
        <v>8.5253223959492743</v>
      </c>
      <c r="AH89" t="str">
        <f t="shared" si="257"/>
        <v>32 Health and social care associate professionals</v>
      </c>
      <c r="AI89" s="322">
        <f t="shared" si="225"/>
        <v>-1.7662528659250998</v>
      </c>
      <c r="AJ89" s="322">
        <f t="shared" si="225"/>
        <v>5.2431189992689253</v>
      </c>
      <c r="AK89" s="322">
        <f t="shared" si="225"/>
        <v>2.4522207349231051</v>
      </c>
      <c r="AL89" s="322">
        <f t="shared" si="225"/>
        <v>-4.4661886327658102</v>
      </c>
      <c r="AM89" s="322">
        <f t="shared" si="226"/>
        <v>-1.7634216298411109</v>
      </c>
      <c r="AO89" s="322">
        <f t="shared" si="227"/>
        <v>-2.2135841049486626</v>
      </c>
      <c r="AP89" s="322">
        <f t="shared" si="228"/>
        <v>2.47179174655352</v>
      </c>
      <c r="AQ89" s="322">
        <f t="shared" si="229"/>
        <v>0.97764328110061527</v>
      </c>
      <c r="AS89" t="str">
        <f t="shared" si="258"/>
        <v>32 Health and social care associate professionals</v>
      </c>
      <c r="AT89" s="322">
        <f t="shared" si="230"/>
        <v>2.2753671743360071</v>
      </c>
      <c r="AU89" s="322">
        <f t="shared" si="230"/>
        <v>16.77157677895331</v>
      </c>
      <c r="AV89" s="322">
        <f t="shared" si="230"/>
        <v>7.8503786161620237</v>
      </c>
      <c r="AW89" s="322">
        <f t="shared" si="230"/>
        <v>1.705155784844492</v>
      </c>
      <c r="AX89" s="322">
        <f t="shared" si="231"/>
        <v>4.48518127692068</v>
      </c>
      <c r="AZ89" s="322">
        <f t="shared" si="232"/>
        <v>3.7136385969974484</v>
      </c>
      <c r="BA89" s="322">
        <f t="shared" si="233"/>
        <v>4.2443980672053128</v>
      </c>
      <c r="BB89" s="322">
        <f t="shared" si="234"/>
        <v>6.5594463846537776</v>
      </c>
      <c r="BD89" t="str">
        <f t="shared" si="259"/>
        <v>32 Health and social care associate professionals</v>
      </c>
      <c r="BE89" s="322">
        <f t="shared" si="235"/>
        <v>8.6479795585048045</v>
      </c>
      <c r="BF89" s="322">
        <f t="shared" si="235"/>
        <v>-5.4402866075226264</v>
      </c>
      <c r="BG89" s="322">
        <f t="shared" si="235"/>
        <v>11.027345774087927</v>
      </c>
      <c r="BH89" s="322">
        <f t="shared" si="235"/>
        <v>1.0648669417854917</v>
      </c>
      <c r="BI89" s="322">
        <f t="shared" si="236"/>
        <v>3.6462578065873608</v>
      </c>
      <c r="BK89" s="322">
        <f t="shared" si="237"/>
        <v>4.2821856404581471</v>
      </c>
      <c r="BL89" s="322">
        <f t="shared" si="238"/>
        <v>4.6404276027925517</v>
      </c>
      <c r="BM89" s="322">
        <f t="shared" si="239"/>
        <v>7.2324317574301578</v>
      </c>
      <c r="BO89" t="str">
        <f t="shared" si="260"/>
        <v>32 Health and social care associate professionals</v>
      </c>
      <c r="BP89" s="322">
        <f t="shared" si="240"/>
        <v>5.5813430333318648</v>
      </c>
      <c r="BQ89" s="322">
        <f t="shared" si="240"/>
        <v>-17.454841584011348</v>
      </c>
      <c r="BR89" s="322">
        <f t="shared" si="240"/>
        <v>10.121367157137385</v>
      </c>
      <c r="BS89" s="322">
        <f t="shared" si="240"/>
        <v>-1.4954851507713141</v>
      </c>
      <c r="BT89" s="322">
        <f t="shared" si="241"/>
        <v>0.87607685432238291</v>
      </c>
      <c r="BV89" s="322">
        <f t="shared" si="242"/>
        <v>2.2338279502760905</v>
      </c>
      <c r="BW89" s="322">
        <f t="shared" si="243"/>
        <v>4.0898918983041765</v>
      </c>
      <c r="BX89" s="322">
        <f t="shared" si="244"/>
        <v>5.4521390940509118</v>
      </c>
      <c r="BZ89" t="str">
        <f t="shared" si="261"/>
        <v>32 Health and social care associate professionals</v>
      </c>
      <c r="CA89" s="322">
        <f t="shared" si="245"/>
        <v>0.30591965205124527</v>
      </c>
      <c r="CB89" s="322">
        <f t="shared" si="245"/>
        <v>-17.463632015778806</v>
      </c>
      <c r="CC89" s="322">
        <f t="shared" si="245"/>
        <v>3.8209498758690508</v>
      </c>
      <c r="CD89" s="322">
        <f t="shared" si="245"/>
        <v>-5.513284319698708</v>
      </c>
      <c r="CE89" s="322">
        <f t="shared" si="246"/>
        <v>-3.5091532972750694</v>
      </c>
      <c r="CG89" s="322">
        <f t="shared" si="247"/>
        <v>-2.4990527758818937</v>
      </c>
      <c r="CH89" s="322">
        <f t="shared" si="248"/>
        <v>2.5302572905896881</v>
      </c>
      <c r="CI89" s="322">
        <f t="shared" si="249"/>
        <v>0.87052956844444473</v>
      </c>
      <c r="CK89" t="str">
        <f t="shared" si="262"/>
        <v>32 Health and social care associate professionals</v>
      </c>
      <c r="CL89" s="322">
        <f t="shared" si="250"/>
        <v>0.67733342017339826</v>
      </c>
      <c r="CM89" s="322">
        <f t="shared" si="250"/>
        <v>18.053335861501687</v>
      </c>
      <c r="CN89" s="322">
        <f t="shared" si="250"/>
        <v>0.7655946678808645</v>
      </c>
      <c r="CO89" s="322">
        <f t="shared" si="250"/>
        <v>-0.99316673787821497</v>
      </c>
      <c r="CP89" s="322">
        <f t="shared" si="251"/>
        <v>0.65392333163805105</v>
      </c>
      <c r="CR89" s="322">
        <f t="shared" si="252"/>
        <v>-0.4103504895191179</v>
      </c>
      <c r="CS89" s="322">
        <f t="shared" si="253"/>
        <v>2.3843003301435628</v>
      </c>
      <c r="CT89" s="322">
        <f t="shared" si="254"/>
        <v>2.0918042712416263</v>
      </c>
    </row>
    <row r="90" spans="1:98">
      <c r="A90" t="str">
        <f t="shared" si="209"/>
        <v>33 Protective service occupations</v>
      </c>
      <c r="B90" s="322">
        <f t="shared" si="210"/>
        <v>10.621098710252674</v>
      </c>
      <c r="C90" s="322">
        <f t="shared" si="210"/>
        <v>-9.9952551789949329</v>
      </c>
      <c r="D90" s="322">
        <f t="shared" si="210"/>
        <v>4.3026939271647802</v>
      </c>
      <c r="E90" s="322">
        <f t="shared" si="210"/>
        <v>5.6432001857258829</v>
      </c>
      <c r="F90" s="322">
        <f t="shared" si="211"/>
        <v>4.1741360454641496</v>
      </c>
      <c r="H90" s="322">
        <f t="shared" si="212"/>
        <v>5.1944613648003291</v>
      </c>
      <c r="I90" s="322">
        <f t="shared" si="213"/>
        <v>3.0266569097946228</v>
      </c>
      <c r="J90" s="322">
        <f t="shared" si="214"/>
        <v>6.8496891082998612</v>
      </c>
      <c r="L90" t="str">
        <f t="shared" si="255"/>
        <v>33 Protective service occupations</v>
      </c>
      <c r="M90" s="322">
        <f t="shared" si="215"/>
        <v>8.2503886059805964</v>
      </c>
      <c r="N90" s="322">
        <f t="shared" si="215"/>
        <v>-7.8674355334291786</v>
      </c>
      <c r="O90" s="322">
        <f t="shared" si="215"/>
        <v>2.0096433127634761</v>
      </c>
      <c r="P90" s="322">
        <f t="shared" si="215"/>
        <v>5.0362030744688369</v>
      </c>
      <c r="Q90" s="322">
        <f t="shared" si="216"/>
        <v>3.231702644794554</v>
      </c>
      <c r="S90" s="322">
        <f t="shared" si="217"/>
        <v>4.0175018126879181</v>
      </c>
      <c r="T90" s="322">
        <f t="shared" si="218"/>
        <v>2.3910665411640109</v>
      </c>
      <c r="U90" s="322">
        <f t="shared" si="219"/>
        <v>5.4949563542244118</v>
      </c>
      <c r="W90" t="str">
        <f t="shared" si="256"/>
        <v>33 Protective service occupations</v>
      </c>
      <c r="X90" s="322">
        <f t="shared" si="220"/>
        <v>3.8873821923690599E-2</v>
      </c>
      <c r="Y90" s="322">
        <f t="shared" si="220"/>
        <v>17.416216150016805</v>
      </c>
      <c r="Z90" s="322">
        <f t="shared" si="220"/>
        <v>-1.8233588544655843</v>
      </c>
      <c r="AA90" s="322">
        <f t="shared" si="220"/>
        <v>3.3154873307739807</v>
      </c>
      <c r="AB90" s="322">
        <f t="shared" si="221"/>
        <v>2.4976600713799035</v>
      </c>
      <c r="AD90" s="322">
        <f t="shared" si="222"/>
        <v>1.5733264819027593</v>
      </c>
      <c r="AE90" s="322">
        <f t="shared" si="223"/>
        <v>2.4450209421493563</v>
      </c>
      <c r="AF90" s="322">
        <f t="shared" si="224"/>
        <v>3.6030220609351682</v>
      </c>
      <c r="AH90" t="str">
        <f t="shared" si="257"/>
        <v>33 Protective service occupations</v>
      </c>
      <c r="AI90" s="322">
        <f t="shared" si="225"/>
        <v>-0.57975225391765361</v>
      </c>
      <c r="AJ90" s="322">
        <f t="shared" si="225"/>
        <v>15.640417829114606</v>
      </c>
      <c r="AK90" s="322">
        <f t="shared" si="225"/>
        <v>-1.3287856132397247</v>
      </c>
      <c r="AL90" s="322">
        <f t="shared" si="225"/>
        <v>3.1755770429292562</v>
      </c>
      <c r="AM90" s="322">
        <f t="shared" si="226"/>
        <v>2.4741778632310529</v>
      </c>
      <c r="AO90" s="322">
        <f t="shared" si="227"/>
        <v>1.6517271527583199</v>
      </c>
      <c r="AP90" s="322">
        <f t="shared" si="228"/>
        <v>2.1898425391477128</v>
      </c>
      <c r="AQ90" s="322">
        <f t="shared" si="229"/>
        <v>3.4468777039916798</v>
      </c>
      <c r="AS90" t="str">
        <f t="shared" si="258"/>
        <v>33 Protective service occupations</v>
      </c>
      <c r="AT90" s="322">
        <f t="shared" si="230"/>
        <v>-2.8343527785695377</v>
      </c>
      <c r="AU90" s="322">
        <f t="shared" si="230"/>
        <v>12.760486890081824</v>
      </c>
      <c r="AV90" s="322">
        <f t="shared" si="230"/>
        <v>-3.9981477058314785</v>
      </c>
      <c r="AW90" s="322">
        <f t="shared" si="230"/>
        <v>1.6225021487525693</v>
      </c>
      <c r="AX90" s="322">
        <f t="shared" si="231"/>
        <v>0.48260030125917286</v>
      </c>
      <c r="AZ90" s="322">
        <f t="shared" si="232"/>
        <v>-0.28669142046267027</v>
      </c>
      <c r="BA90" s="322">
        <f t="shared" si="233"/>
        <v>1.9236773609418112</v>
      </c>
      <c r="BB90" s="322">
        <f t="shared" si="234"/>
        <v>1.7052167546650177</v>
      </c>
      <c r="BD90" t="str">
        <f t="shared" si="259"/>
        <v>33 Protective service occupations</v>
      </c>
      <c r="BE90" s="322">
        <f t="shared" si="235"/>
        <v>-0.60065639083016764</v>
      </c>
      <c r="BF90" s="322">
        <f t="shared" si="235"/>
        <v>5.3764428493858762</v>
      </c>
      <c r="BG90" s="322">
        <f t="shared" si="235"/>
        <v>-3.3556235630059827</v>
      </c>
      <c r="BH90" s="322">
        <f t="shared" si="235"/>
        <v>-0.52360768575684391</v>
      </c>
      <c r="BI90" s="322">
        <f t="shared" si="236"/>
        <v>-1.0617621053780057</v>
      </c>
      <c r="BK90" s="322">
        <f t="shared" si="237"/>
        <v>-1.4767157790097629</v>
      </c>
      <c r="BL90" s="322">
        <f t="shared" si="238"/>
        <v>1.3125159625522853</v>
      </c>
      <c r="BM90" s="322">
        <f t="shared" si="239"/>
        <v>0.10603417532755177</v>
      </c>
      <c r="BO90" t="str">
        <f t="shared" si="260"/>
        <v>33 Protective service occupations</v>
      </c>
      <c r="BP90" s="322">
        <f t="shared" si="240"/>
        <v>0.85758614229101138</v>
      </c>
      <c r="BQ90" s="322">
        <f t="shared" si="240"/>
        <v>-2.8960198861478825</v>
      </c>
      <c r="BR90" s="322">
        <f t="shared" si="240"/>
        <v>-3.2890872225369683</v>
      </c>
      <c r="BS90" s="322">
        <f t="shared" si="240"/>
        <v>-1.8524292439005774</v>
      </c>
      <c r="BT90" s="322">
        <f t="shared" si="241"/>
        <v>-2.3689130464733532</v>
      </c>
      <c r="BV90" s="322">
        <f t="shared" si="242"/>
        <v>-2.3336710274747374</v>
      </c>
      <c r="BW90" s="322">
        <f t="shared" si="243"/>
        <v>1.497982942631082</v>
      </c>
      <c r="BX90" s="322">
        <f t="shared" si="244"/>
        <v>-0.33023116947611397</v>
      </c>
      <c r="BZ90" t="str">
        <f t="shared" si="261"/>
        <v>33 Protective service occupations</v>
      </c>
      <c r="CA90" s="322">
        <f t="shared" si="245"/>
        <v>-2.0325636563979788</v>
      </c>
      <c r="CB90" s="322">
        <f t="shared" si="245"/>
        <v>3.0038055938681252</v>
      </c>
      <c r="CC90" s="322">
        <f t="shared" si="245"/>
        <v>-5.7048969192087684</v>
      </c>
      <c r="CD90" s="322">
        <f t="shared" si="245"/>
        <v>-3.9109685045758735</v>
      </c>
      <c r="CE90" s="322">
        <f t="shared" si="246"/>
        <v>-4.0594242110878254</v>
      </c>
      <c r="CG90" s="322">
        <f t="shared" si="247"/>
        <v>-4.5127050199967549</v>
      </c>
      <c r="CH90" s="322">
        <f t="shared" si="248"/>
        <v>1.4106645782531846</v>
      </c>
      <c r="CI90" s="322">
        <f t="shared" si="249"/>
        <v>-2.0398791604918753</v>
      </c>
      <c r="CK90" t="str">
        <f t="shared" si="262"/>
        <v>33 Protective service occupations</v>
      </c>
      <c r="CL90" s="322">
        <f t="shared" si="250"/>
        <v>-6.6530939476628914</v>
      </c>
      <c r="CM90" s="322">
        <f t="shared" si="250"/>
        <v>11.388630023930602</v>
      </c>
      <c r="CN90" s="322">
        <f t="shared" si="250"/>
        <v>-6.7615236342429386</v>
      </c>
      <c r="CO90" s="322">
        <f t="shared" si="250"/>
        <v>-2.5770189064917792</v>
      </c>
      <c r="CP90" s="322">
        <f t="shared" si="251"/>
        <v>-3.0965078785883726</v>
      </c>
      <c r="CR90" s="322">
        <f t="shared" si="252"/>
        <v>-3.9923147224896982</v>
      </c>
      <c r="CS90" s="322">
        <f t="shared" si="253"/>
        <v>0.97744057243638327</v>
      </c>
      <c r="CT90" s="322">
        <f t="shared" si="254"/>
        <v>-2.3514315160739097</v>
      </c>
    </row>
    <row r="91" spans="1:98">
      <c r="A91" t="str">
        <f t="shared" si="209"/>
        <v>34 Culture, media and sports occupations</v>
      </c>
      <c r="B91" s="322">
        <f t="shared" si="210"/>
        <v>9.5203297947539909</v>
      </c>
      <c r="C91" s="322">
        <f t="shared" si="210"/>
        <v>2.3189117949134808</v>
      </c>
      <c r="D91" s="322">
        <f t="shared" si="210"/>
        <v>3.1468198060484065</v>
      </c>
      <c r="E91" s="322">
        <f t="shared" si="210"/>
        <v>3.6619124064752429</v>
      </c>
      <c r="F91" s="322">
        <f t="shared" si="211"/>
        <v>3.4163500239475342</v>
      </c>
      <c r="H91" s="322">
        <f t="shared" si="212"/>
        <v>3.4899296988827544</v>
      </c>
      <c r="I91" s="322">
        <f t="shared" si="213"/>
        <v>3.4127075860955092</v>
      </c>
      <c r="J91" s="322">
        <f t="shared" si="214"/>
        <v>5.7926219081785968</v>
      </c>
      <c r="L91" t="str">
        <f t="shared" si="255"/>
        <v>34 Culture, media and sports occupations</v>
      </c>
      <c r="M91" s="322">
        <f t="shared" si="215"/>
        <v>7.8823078356347942</v>
      </c>
      <c r="N91" s="322">
        <f t="shared" si="215"/>
        <v>-0.2870748431468173</v>
      </c>
      <c r="O91" s="322">
        <f t="shared" si="215"/>
        <v>0.35931915695426309</v>
      </c>
      <c r="P91" s="322">
        <f t="shared" si="215"/>
        <v>2.9445348188145815</v>
      </c>
      <c r="Q91" s="322">
        <f t="shared" si="216"/>
        <v>1.9261943128021652</v>
      </c>
      <c r="S91" s="322">
        <f t="shared" si="217"/>
        <v>2.0754803802704558</v>
      </c>
      <c r="T91" s="322">
        <f t="shared" si="218"/>
        <v>2.9957035769177409</v>
      </c>
      <c r="U91" s="322">
        <f t="shared" si="219"/>
        <v>4.4370829613842533</v>
      </c>
      <c r="W91" t="str">
        <f t="shared" si="256"/>
        <v>34 Culture, media and sports occupations</v>
      </c>
      <c r="X91" s="322">
        <f t="shared" si="220"/>
        <v>-1.7559903734976512</v>
      </c>
      <c r="Y91" s="322">
        <f t="shared" si="220"/>
        <v>5.4774124994725781</v>
      </c>
      <c r="Z91" s="322">
        <f t="shared" si="220"/>
        <v>-2.9720176761364514</v>
      </c>
      <c r="AA91" s="322">
        <f t="shared" si="220"/>
        <v>0.75083666503568125</v>
      </c>
      <c r="AB91" s="322">
        <f t="shared" si="221"/>
        <v>-0.14192432585669046</v>
      </c>
      <c r="AD91" s="322">
        <f t="shared" si="222"/>
        <v>-0.5057213411009398</v>
      </c>
      <c r="AE91" s="322">
        <f t="shared" si="223"/>
        <v>2.4558128215294905</v>
      </c>
      <c r="AF91" s="322">
        <f t="shared" si="224"/>
        <v>2.0996680741378615</v>
      </c>
      <c r="AH91" t="str">
        <f t="shared" si="257"/>
        <v>34 Culture, media and sports occupations</v>
      </c>
      <c r="AI91" s="322">
        <f t="shared" si="225"/>
        <v>-4.9550604872154347</v>
      </c>
      <c r="AJ91" s="322">
        <f t="shared" si="225"/>
        <v>21.432910579723497</v>
      </c>
      <c r="AK91" s="322">
        <f t="shared" si="225"/>
        <v>-2.3011166761597424</v>
      </c>
      <c r="AL91" s="322">
        <f t="shared" si="225"/>
        <v>2.5807213174797505</v>
      </c>
      <c r="AM91" s="322">
        <f t="shared" si="226"/>
        <v>2.100441040189982</v>
      </c>
      <c r="AO91" s="322">
        <f t="shared" si="227"/>
        <v>0.92692285846749378</v>
      </c>
      <c r="AP91" s="322">
        <f t="shared" si="228"/>
        <v>2.7548861206872166</v>
      </c>
      <c r="AQ91" s="322">
        <f t="shared" si="229"/>
        <v>3.4019677924878922</v>
      </c>
      <c r="AS91" t="str">
        <f t="shared" si="258"/>
        <v>34 Culture, media and sports occupations</v>
      </c>
      <c r="AT91" s="322">
        <f t="shared" si="230"/>
        <v>-2.870623897787683</v>
      </c>
      <c r="AU91" s="322">
        <f t="shared" si="230"/>
        <v>5.34128680989292</v>
      </c>
      <c r="AV91" s="322">
        <f t="shared" si="230"/>
        <v>-3.9714847899124051</v>
      </c>
      <c r="AW91" s="322">
        <f t="shared" si="230"/>
        <v>0.31620452903413643</v>
      </c>
      <c r="AX91" s="322">
        <f t="shared" si="231"/>
        <v>-0.7411102387274715</v>
      </c>
      <c r="AZ91" s="322">
        <f t="shared" si="232"/>
        <v>-1.1338855763673661</v>
      </c>
      <c r="BA91" s="322">
        <f t="shared" si="233"/>
        <v>2.2717119620275339</v>
      </c>
      <c r="BB91" s="322">
        <f t="shared" si="234"/>
        <v>1.4631248713842693</v>
      </c>
      <c r="BD91" t="str">
        <f t="shared" si="259"/>
        <v>34 Culture, media and sports occupations</v>
      </c>
      <c r="BE91" s="322">
        <f t="shared" si="235"/>
        <v>0.85668169751083045</v>
      </c>
      <c r="BF91" s="322">
        <f t="shared" si="235"/>
        <v>3.3822306912965061</v>
      </c>
      <c r="BG91" s="322">
        <f t="shared" si="235"/>
        <v>-2.9452433162567071</v>
      </c>
      <c r="BH91" s="322">
        <f t="shared" si="235"/>
        <v>0.99226230623796763</v>
      </c>
      <c r="BI91" s="322">
        <f t="shared" si="236"/>
        <v>-0.10915439745257105</v>
      </c>
      <c r="BK91" s="322">
        <f t="shared" si="237"/>
        <v>-0.33767627639970099</v>
      </c>
      <c r="BL91" s="322">
        <f t="shared" si="238"/>
        <v>2.0469084409802774</v>
      </c>
      <c r="BM91" s="322">
        <f t="shared" si="239"/>
        <v>1.7942242040099643</v>
      </c>
      <c r="BO91" t="str">
        <f t="shared" si="260"/>
        <v>34 Culture, media and sports occupations</v>
      </c>
      <c r="BP91" s="322">
        <f t="shared" si="240"/>
        <v>-1.8247435368597631</v>
      </c>
      <c r="BQ91" s="322">
        <f t="shared" si="240"/>
        <v>-11.120332958969536</v>
      </c>
      <c r="BR91" s="322">
        <f t="shared" si="240"/>
        <v>-4.9249452650511616</v>
      </c>
      <c r="BS91" s="322">
        <f t="shared" si="240"/>
        <v>-3.4196761654724184</v>
      </c>
      <c r="BT91" s="322">
        <f t="shared" si="241"/>
        <v>-4.3904290024726738</v>
      </c>
      <c r="BV91" s="322">
        <f t="shared" si="242"/>
        <v>-3.924062076657453</v>
      </c>
      <c r="BW91" s="322">
        <f t="shared" si="243"/>
        <v>1.6491313550753839</v>
      </c>
      <c r="BX91" s="322">
        <f t="shared" si="244"/>
        <v>-1.2613351771083248</v>
      </c>
      <c r="BZ91" t="str">
        <f t="shared" si="261"/>
        <v>34 Culture, media and sports occupations</v>
      </c>
      <c r="CA91" s="322">
        <f t="shared" si="245"/>
        <v>-4.2276833689173232</v>
      </c>
      <c r="CB91" s="322">
        <f t="shared" si="245"/>
        <v>-1.8658249992682618</v>
      </c>
      <c r="CC91" s="322">
        <f t="shared" si="245"/>
        <v>-9.1626884008958687</v>
      </c>
      <c r="CD91" s="322">
        <f t="shared" si="245"/>
        <v>-6.6078868062324991</v>
      </c>
      <c r="CE91" s="322">
        <f t="shared" si="246"/>
        <v>-7.1268386705705904</v>
      </c>
      <c r="CG91" s="322">
        <f t="shared" si="247"/>
        <v>-7.4673729097631032</v>
      </c>
      <c r="CH91" s="322">
        <f t="shared" si="248"/>
        <v>1.210750513851333</v>
      </c>
      <c r="CI91" s="322">
        <f t="shared" si="249"/>
        <v>-4.3892561799842351</v>
      </c>
      <c r="CK91" t="str">
        <f t="shared" si="262"/>
        <v>34 Culture, media and sports occupations</v>
      </c>
      <c r="CL91" s="322">
        <f t="shared" si="250"/>
        <v>-1.5384047371735043</v>
      </c>
      <c r="CM91" s="322">
        <f t="shared" si="250"/>
        <v>9.2836331331102464</v>
      </c>
      <c r="CN91" s="322">
        <f t="shared" si="250"/>
        <v>-9.0351591182167397</v>
      </c>
      <c r="CO91" s="322">
        <f t="shared" si="250"/>
        <v>-2.0481364415739223</v>
      </c>
      <c r="CP91" s="322">
        <f t="shared" si="251"/>
        <v>-3.6302741641070835</v>
      </c>
      <c r="CR91" s="322">
        <f t="shared" si="252"/>
        <v>-4.4348255984758449</v>
      </c>
      <c r="CS91" s="322">
        <f t="shared" si="253"/>
        <v>1.3902539580110007</v>
      </c>
      <c r="CT91" s="322">
        <f t="shared" si="254"/>
        <v>-2.0182462462459583</v>
      </c>
    </row>
    <row r="92" spans="1:98">
      <c r="A92" t="str">
        <f t="shared" si="209"/>
        <v>35 Business and public service associate professionals</v>
      </c>
      <c r="B92" s="322">
        <f t="shared" si="210"/>
        <v>6.6341111797059371</v>
      </c>
      <c r="C92" s="322">
        <f t="shared" si="210"/>
        <v>-5.2960968293826909</v>
      </c>
      <c r="D92" s="322">
        <f t="shared" si="210"/>
        <v>5.5684641604222707</v>
      </c>
      <c r="E92" s="322">
        <f t="shared" si="210"/>
        <v>4.9166882702184056</v>
      </c>
      <c r="F92" s="322">
        <f t="shared" si="211"/>
        <v>4.449241227558387</v>
      </c>
      <c r="H92" s="322">
        <f t="shared" si="212"/>
        <v>5.133498553322613</v>
      </c>
      <c r="I92" s="322">
        <f t="shared" si="213"/>
        <v>3.63394750184729</v>
      </c>
      <c r="J92" s="322">
        <f t="shared" si="214"/>
        <v>7.1739899850790545</v>
      </c>
      <c r="L92" t="str">
        <f t="shared" si="255"/>
        <v>35 Business and public service associate professionals</v>
      </c>
      <c r="M92" s="322">
        <f t="shared" si="215"/>
        <v>7.1181545555973003</v>
      </c>
      <c r="N92" s="322">
        <f t="shared" si="215"/>
        <v>-2.2710119218895541</v>
      </c>
      <c r="O92" s="322">
        <f t="shared" si="215"/>
        <v>4.6400426664472638</v>
      </c>
      <c r="P92" s="322">
        <f t="shared" si="215"/>
        <v>3.8843423958933698</v>
      </c>
      <c r="Q92" s="322">
        <f t="shared" si="216"/>
        <v>3.7231907756740679</v>
      </c>
      <c r="S92" s="322">
        <f t="shared" si="217"/>
        <v>4.1356341320924361</v>
      </c>
      <c r="T92" s="322">
        <f t="shared" si="218"/>
        <v>3.4739759989775187</v>
      </c>
      <c r="U92" s="322">
        <f t="shared" si="219"/>
        <v>6.3147237340812845</v>
      </c>
      <c r="W92" t="str">
        <f t="shared" si="256"/>
        <v>35 Business and public service associate professionals</v>
      </c>
      <c r="X92" s="322">
        <f t="shared" si="220"/>
        <v>-2.0848140582945929</v>
      </c>
      <c r="Y92" s="322">
        <f t="shared" si="220"/>
        <v>10.943426108126397</v>
      </c>
      <c r="Z92" s="322">
        <f t="shared" si="220"/>
        <v>0.17868945338757047</v>
      </c>
      <c r="AA92" s="322">
        <f t="shared" si="220"/>
        <v>0.63297910411104219</v>
      </c>
      <c r="AB92" s="322">
        <f t="shared" si="221"/>
        <v>1.1052831835045573</v>
      </c>
      <c r="AD92" s="322">
        <f t="shared" si="222"/>
        <v>0.48132077958733532</v>
      </c>
      <c r="AE92" s="322">
        <f t="shared" si="223"/>
        <v>2.8747115934672163</v>
      </c>
      <c r="AF92" s="322">
        <f t="shared" si="224"/>
        <v>3.2021302570666821</v>
      </c>
      <c r="AH92" t="str">
        <f t="shared" si="257"/>
        <v>35 Business and public service associate professionals</v>
      </c>
      <c r="AI92" s="322">
        <f t="shared" si="225"/>
        <v>-0.66056475949596294</v>
      </c>
      <c r="AJ92" s="322">
        <f t="shared" si="225"/>
        <v>15.888392340080992</v>
      </c>
      <c r="AK92" s="322">
        <f t="shared" si="225"/>
        <v>0.33535504872952426</v>
      </c>
      <c r="AL92" s="322">
        <f t="shared" si="225"/>
        <v>1.042293824212126</v>
      </c>
      <c r="AM92" s="322">
        <f t="shared" si="226"/>
        <v>1.688388891562953</v>
      </c>
      <c r="AO92" s="322">
        <f t="shared" si="227"/>
        <v>0.80609585606639111</v>
      </c>
      <c r="AP92" s="322">
        <f t="shared" si="228"/>
        <v>2.8208977643306099</v>
      </c>
      <c r="AQ92" s="322">
        <f t="shared" si="229"/>
        <v>3.3773031459657155</v>
      </c>
      <c r="AS92" t="str">
        <f t="shared" si="258"/>
        <v>35 Business and public service associate professionals</v>
      </c>
      <c r="AT92" s="322">
        <f t="shared" si="230"/>
        <v>-2.3151580948087447</v>
      </c>
      <c r="AU92" s="322">
        <f t="shared" si="230"/>
        <v>11.875969039528012</v>
      </c>
      <c r="AV92" s="322">
        <f t="shared" si="230"/>
        <v>0.12015239474441053</v>
      </c>
      <c r="AW92" s="322">
        <f t="shared" si="230"/>
        <v>1.0377738602137088</v>
      </c>
      <c r="AX92" s="322">
        <f t="shared" si="231"/>
        <v>1.3937943745194747</v>
      </c>
      <c r="AZ92" s="322">
        <f t="shared" si="232"/>
        <v>0.73096935946903585</v>
      </c>
      <c r="BA92" s="322">
        <f t="shared" si="233"/>
        <v>2.7379238946009021</v>
      </c>
      <c r="BB92" s="322">
        <f t="shared" si="234"/>
        <v>3.2471313102218291</v>
      </c>
      <c r="BD92" t="str">
        <f t="shared" si="259"/>
        <v>35 Business and public service associate professionals</v>
      </c>
      <c r="BE92" s="322">
        <f t="shared" si="235"/>
        <v>1.7366428005921808</v>
      </c>
      <c r="BF92" s="322">
        <f t="shared" si="235"/>
        <v>1.6536595964046441</v>
      </c>
      <c r="BG92" s="322">
        <f t="shared" si="235"/>
        <v>-0.29984315633100334</v>
      </c>
      <c r="BH92" s="322">
        <f t="shared" si="235"/>
        <v>-0.16692269105392787</v>
      </c>
      <c r="BI92" s="322">
        <f t="shared" si="236"/>
        <v>-9.5701303171713548E-2</v>
      </c>
      <c r="BK92" s="322">
        <f t="shared" si="237"/>
        <v>-0.21124919113864049</v>
      </c>
      <c r="BL92" s="322">
        <f t="shared" si="238"/>
        <v>2.3035872373774691</v>
      </c>
      <c r="BM92" s="322">
        <f t="shared" si="239"/>
        <v>2.150672064576864</v>
      </c>
      <c r="BO92" t="str">
        <f t="shared" si="260"/>
        <v>35 Business and public service associate professionals</v>
      </c>
      <c r="BP92" s="322">
        <f t="shared" si="240"/>
        <v>0.41281977027416428</v>
      </c>
      <c r="BQ92" s="322">
        <f t="shared" si="240"/>
        <v>-7.529474916154399</v>
      </c>
      <c r="BR92" s="322">
        <f t="shared" si="240"/>
        <v>-0.33006443175491729</v>
      </c>
      <c r="BS92" s="322">
        <f t="shared" si="240"/>
        <v>-1.5499044329185474</v>
      </c>
      <c r="BT92" s="322">
        <f t="shared" si="241"/>
        <v>-1.5566006340591687</v>
      </c>
      <c r="BV92" s="322">
        <f t="shared" si="242"/>
        <v>-1.144959006438695</v>
      </c>
      <c r="BW92" s="322">
        <f t="shared" si="243"/>
        <v>2.225631431349484</v>
      </c>
      <c r="BX92" s="322">
        <f t="shared" si="244"/>
        <v>1.4038520264527232</v>
      </c>
      <c r="BZ92" t="str">
        <f t="shared" si="261"/>
        <v>35 Business and public service associate professionals</v>
      </c>
      <c r="CA92" s="322">
        <f t="shared" si="245"/>
        <v>-2.066629915378404</v>
      </c>
      <c r="CB92" s="322">
        <f t="shared" si="245"/>
        <v>-1.5084268316797433</v>
      </c>
      <c r="CC92" s="322">
        <f t="shared" si="245"/>
        <v>-4.2334562406992955</v>
      </c>
      <c r="CD92" s="322">
        <f t="shared" si="245"/>
        <v>-4.9075676911999988</v>
      </c>
      <c r="CE92" s="322">
        <f t="shared" si="246"/>
        <v>-4.48799068628154</v>
      </c>
      <c r="CG92" s="322">
        <f t="shared" si="247"/>
        <v>-4.6833927690964501</v>
      </c>
      <c r="CH92" s="322">
        <f t="shared" si="248"/>
        <v>1.5823390763535672</v>
      </c>
      <c r="CI92" s="322">
        <f t="shared" si="249"/>
        <v>-1.8775649335086464</v>
      </c>
      <c r="CK92" t="str">
        <f t="shared" si="262"/>
        <v>35 Business and public service associate professionals</v>
      </c>
      <c r="CL92" s="322">
        <f t="shared" si="250"/>
        <v>-1.4835267196234625</v>
      </c>
      <c r="CM92" s="322">
        <f t="shared" si="250"/>
        <v>15.365222142175661</v>
      </c>
      <c r="CN92" s="322">
        <f t="shared" si="250"/>
        <v>-8.9577129087959442</v>
      </c>
      <c r="CO92" s="322">
        <f t="shared" si="250"/>
        <v>-1.5722050728912862</v>
      </c>
      <c r="CP92" s="322">
        <f t="shared" si="251"/>
        <v>-2.9843570428236044</v>
      </c>
      <c r="CR92" s="322">
        <f t="shared" si="252"/>
        <v>-4.0983181515398144</v>
      </c>
      <c r="CS92" s="322">
        <f t="shared" si="253"/>
        <v>1.2870936801239852</v>
      </c>
      <c r="CT92" s="322">
        <f t="shared" si="254"/>
        <v>-1.9408393435812132</v>
      </c>
    </row>
    <row r="93" spans="1:98">
      <c r="A93" t="str">
        <f t="shared" si="209"/>
        <v>41 Administrative occupations</v>
      </c>
      <c r="B93" s="322">
        <f t="shared" si="210"/>
        <v>5.0170649479654328</v>
      </c>
      <c r="C93" s="322">
        <f t="shared" si="210"/>
        <v>4.9202741976821285</v>
      </c>
      <c r="D93" s="322">
        <f t="shared" si="210"/>
        <v>6.6191762301497592</v>
      </c>
      <c r="E93" s="322">
        <f t="shared" si="210"/>
        <v>5.3152005752824527</v>
      </c>
      <c r="F93" s="322">
        <f t="shared" si="211"/>
        <v>5.696148921785249</v>
      </c>
      <c r="H93" s="322">
        <f t="shared" si="212"/>
        <v>5.7480774362448139</v>
      </c>
      <c r="I93" s="322">
        <f t="shared" si="213"/>
        <v>4.0456767027446272</v>
      </c>
      <c r="J93" s="322">
        <f t="shared" si="214"/>
        <v>7.8930484294791103</v>
      </c>
      <c r="L93" t="str">
        <f t="shared" si="255"/>
        <v>41 Administrative occupations</v>
      </c>
      <c r="M93" s="322">
        <f t="shared" si="215"/>
        <v>6.4692182182244595</v>
      </c>
      <c r="N93" s="322">
        <f t="shared" si="215"/>
        <v>8.8352273685628813</v>
      </c>
      <c r="O93" s="322">
        <f t="shared" si="215"/>
        <v>6.2709903943980239</v>
      </c>
      <c r="P93" s="322">
        <f t="shared" si="215"/>
        <v>4.0099342983448416</v>
      </c>
      <c r="Q93" s="322">
        <f t="shared" si="216"/>
        <v>5.00850109145623</v>
      </c>
      <c r="S93" s="322">
        <f t="shared" si="217"/>
        <v>4.7582232639980848</v>
      </c>
      <c r="T93" s="322">
        <f t="shared" si="218"/>
        <v>3.907354606009239</v>
      </c>
      <c r="U93" s="322">
        <f t="shared" si="219"/>
        <v>7.0676083981318971</v>
      </c>
      <c r="W93" t="str">
        <f t="shared" si="256"/>
        <v>41 Administrative occupations</v>
      </c>
      <c r="X93" s="322">
        <f t="shared" si="220"/>
        <v>-2.6190601737697383</v>
      </c>
      <c r="Y93" s="322">
        <f t="shared" si="220"/>
        <v>20.55391738188348</v>
      </c>
      <c r="Z93" s="322">
        <f t="shared" si="220"/>
        <v>2.7880015828396054</v>
      </c>
      <c r="AA93" s="322">
        <f t="shared" si="220"/>
        <v>1.8411496022189944</v>
      </c>
      <c r="AB93" s="322">
        <f t="shared" si="221"/>
        <v>3.2185842954768562</v>
      </c>
      <c r="AD93" s="322">
        <f t="shared" si="222"/>
        <v>2.1557938161788082</v>
      </c>
      <c r="AE93" s="322">
        <f t="shared" si="223"/>
        <v>3.5492474132336138</v>
      </c>
      <c r="AF93" s="322">
        <f t="shared" si="224"/>
        <v>4.9508586636738849</v>
      </c>
      <c r="AH93" t="str">
        <f t="shared" si="257"/>
        <v>41 Administrative occupations</v>
      </c>
      <c r="AI93" s="322">
        <f t="shared" si="225"/>
        <v>-1.3709469150185338</v>
      </c>
      <c r="AJ93" s="322">
        <f t="shared" si="225"/>
        <v>22.17532717959687</v>
      </c>
      <c r="AK93" s="322">
        <f t="shared" si="225"/>
        <v>2.0973250062730209</v>
      </c>
      <c r="AL93" s="322">
        <f t="shared" si="225"/>
        <v>1.9082971850539199</v>
      </c>
      <c r="AM93" s="322">
        <f t="shared" si="226"/>
        <v>3.1298589068034621</v>
      </c>
      <c r="AO93" s="322">
        <f t="shared" si="227"/>
        <v>1.9712675406434732</v>
      </c>
      <c r="AP93" s="322">
        <f t="shared" si="228"/>
        <v>3.645053595746317</v>
      </c>
      <c r="AQ93" s="322">
        <f t="shared" si="229"/>
        <v>4.9057388845659355</v>
      </c>
      <c r="AS93" t="str">
        <f t="shared" si="258"/>
        <v>41 Administrative occupations</v>
      </c>
      <c r="AT93" s="322">
        <f t="shared" si="230"/>
        <v>-3.5115239088516992</v>
      </c>
      <c r="AU93" s="322">
        <f t="shared" si="230"/>
        <v>22.892067160973049</v>
      </c>
      <c r="AV93" s="322">
        <f t="shared" si="230"/>
        <v>1.0756817839229438</v>
      </c>
      <c r="AW93" s="322">
        <f t="shared" si="230"/>
        <v>1.4591242988779118</v>
      </c>
      <c r="AX93" s="322">
        <f t="shared" si="231"/>
        <v>2.5602973719282662</v>
      </c>
      <c r="AZ93" s="322">
        <f t="shared" si="232"/>
        <v>1.3311487730918614</v>
      </c>
      <c r="BA93" s="322">
        <f t="shared" si="233"/>
        <v>3.2503951052679891</v>
      </c>
      <c r="BB93" s="322">
        <f t="shared" si="234"/>
        <v>4.1305416136585116</v>
      </c>
      <c r="BD93" t="str">
        <f t="shared" si="259"/>
        <v>41 Administrative occupations</v>
      </c>
      <c r="BE93" s="322">
        <f t="shared" si="235"/>
        <v>-0.71950021105521289</v>
      </c>
      <c r="BF93" s="322">
        <f t="shared" si="235"/>
        <v>2.1103038563861531</v>
      </c>
      <c r="BG93" s="322">
        <f t="shared" si="235"/>
        <v>0.49227786414010044</v>
      </c>
      <c r="BH93" s="322">
        <f t="shared" si="235"/>
        <v>-0.88538119167995699</v>
      </c>
      <c r="BI93" s="322">
        <f t="shared" si="236"/>
        <v>-0.27147731820884591</v>
      </c>
      <c r="BK93" s="322">
        <f t="shared" si="237"/>
        <v>-0.42827289236251342</v>
      </c>
      <c r="BL93" s="322">
        <f t="shared" si="238"/>
        <v>2.5508903484738665</v>
      </c>
      <c r="BM93" s="322">
        <f t="shared" si="239"/>
        <v>2.2527560305113159</v>
      </c>
      <c r="BO93" t="str">
        <f t="shared" si="260"/>
        <v>41 Administrative occupations</v>
      </c>
      <c r="BP93" s="322">
        <f t="shared" si="240"/>
        <v>-1.7453629479363908</v>
      </c>
      <c r="BQ93" s="322">
        <f t="shared" si="240"/>
        <v>-7.8192621287732518</v>
      </c>
      <c r="BR93" s="322">
        <f t="shared" si="240"/>
        <v>0.58120212398315996</v>
      </c>
      <c r="BS93" s="322">
        <f t="shared" si="240"/>
        <v>-2.6993994127136878</v>
      </c>
      <c r="BT93" s="322">
        <f t="shared" si="241"/>
        <v>-2.0174543083277929</v>
      </c>
      <c r="BV93" s="322">
        <f t="shared" si="242"/>
        <v>-1.6179303287298108</v>
      </c>
      <c r="BW93" s="322">
        <f t="shared" si="243"/>
        <v>2.4214168274794279</v>
      </c>
      <c r="BX93" s="322">
        <f t="shared" si="244"/>
        <v>1.3050426470374354</v>
      </c>
      <c r="BZ93" t="str">
        <f t="shared" si="261"/>
        <v>41 Administrative occupations</v>
      </c>
      <c r="CA93" s="322">
        <f t="shared" si="245"/>
        <v>-5.2535742992058987</v>
      </c>
      <c r="CB93" s="322">
        <f t="shared" si="245"/>
        <v>-9.5229226509939817</v>
      </c>
      <c r="CC93" s="322">
        <f t="shared" si="245"/>
        <v>-5.7663946460968951</v>
      </c>
      <c r="CD93" s="322">
        <f t="shared" si="245"/>
        <v>-9.7592418565010224</v>
      </c>
      <c r="CE93" s="322">
        <f t="shared" si="246"/>
        <v>-8.5150437769420328</v>
      </c>
      <c r="CG93" s="322">
        <f t="shared" si="247"/>
        <v>-8.4474540326216818</v>
      </c>
      <c r="CH93" s="322">
        <f t="shared" si="248"/>
        <v>1.3954704027041132</v>
      </c>
      <c r="CI93" s="322">
        <f t="shared" si="249"/>
        <v>-4.5520349812119161</v>
      </c>
      <c r="CK93" t="str">
        <f t="shared" si="262"/>
        <v>41 Administrative occupations</v>
      </c>
      <c r="CL93" s="322">
        <f t="shared" si="250"/>
        <v>-8.1906174982103508</v>
      </c>
      <c r="CM93" s="322">
        <f t="shared" si="250"/>
        <v>15.81038023440129</v>
      </c>
      <c r="CN93" s="322">
        <f t="shared" si="250"/>
        <v>-7.2017470843574678</v>
      </c>
      <c r="CO93" s="322">
        <f t="shared" si="250"/>
        <v>-3.3315347099778014</v>
      </c>
      <c r="CP93" s="322">
        <f t="shared" si="251"/>
        <v>-3.4741976428634413</v>
      </c>
      <c r="CR93" s="322">
        <f t="shared" si="252"/>
        <v>-4.6392153588178386</v>
      </c>
      <c r="CS93" s="322">
        <f t="shared" si="253"/>
        <v>1.3217096784785776</v>
      </c>
      <c r="CT93" s="322">
        <f t="shared" si="254"/>
        <v>-2.2749611296879024</v>
      </c>
    </row>
    <row r="94" spans="1:98">
      <c r="A94" t="str">
        <f t="shared" si="209"/>
        <v>42 Secretarial and related occupations</v>
      </c>
      <c r="B94" s="322">
        <f t="shared" si="210"/>
        <v>2.30401712869861</v>
      </c>
      <c r="C94" s="322">
        <f t="shared" si="210"/>
        <v>17.73107600834274</v>
      </c>
      <c r="D94" s="322">
        <f t="shared" si="210"/>
        <v>7.9052979727757711</v>
      </c>
      <c r="E94" s="322">
        <f t="shared" si="210"/>
        <v>4.5434325199743997</v>
      </c>
      <c r="F94" s="322">
        <f t="shared" si="211"/>
        <v>6.3694789356903314</v>
      </c>
      <c r="H94" s="322">
        <f t="shared" si="212"/>
        <v>5.6522522762300742</v>
      </c>
      <c r="I94" s="322">
        <f t="shared" si="213"/>
        <v>4.6442224669738019</v>
      </c>
      <c r="J94" s="322">
        <f t="shared" si="214"/>
        <v>8.1902490060681963</v>
      </c>
      <c r="L94" t="str">
        <f t="shared" si="255"/>
        <v>42 Secretarial and related occupations</v>
      </c>
      <c r="M94" s="322">
        <f t="shared" si="215"/>
        <v>5.3987128187778621</v>
      </c>
      <c r="N94" s="322">
        <f t="shared" si="215"/>
        <v>15.133985836211794</v>
      </c>
      <c r="O94" s="322">
        <f t="shared" si="215"/>
        <v>4.9231553526546623</v>
      </c>
      <c r="P94" s="322">
        <f t="shared" si="215"/>
        <v>-1.9811907996348355</v>
      </c>
      <c r="Q94" s="322">
        <f t="shared" si="216"/>
        <v>1.1383594267784458</v>
      </c>
      <c r="S94" s="322">
        <f t="shared" si="217"/>
        <v>0.26824086419605653</v>
      </c>
      <c r="T94" s="322">
        <f t="shared" si="218"/>
        <v>3.3361950093569126</v>
      </c>
      <c r="U94" s="322">
        <f t="shared" si="219"/>
        <v>3.5068565489679182</v>
      </c>
      <c r="W94" t="str">
        <f t="shared" si="256"/>
        <v>42 Secretarial and related occupations</v>
      </c>
      <c r="X94" s="322">
        <f t="shared" si="220"/>
        <v>-3.5625321925264353</v>
      </c>
      <c r="Y94" s="322">
        <f t="shared" si="220"/>
        <v>20.399177041000584</v>
      </c>
      <c r="Z94" s="322">
        <f t="shared" si="220"/>
        <v>3.6469452638389743</v>
      </c>
      <c r="AA94" s="322">
        <f t="shared" si="220"/>
        <v>2.1176095858459032</v>
      </c>
      <c r="AB94" s="322">
        <f t="shared" si="221"/>
        <v>3.6545279946781806</v>
      </c>
      <c r="AD94" s="322">
        <f t="shared" si="222"/>
        <v>2.6248642577785919</v>
      </c>
      <c r="AE94" s="322">
        <f t="shared" si="223"/>
        <v>4.0243343877087279</v>
      </c>
      <c r="AF94" s="322">
        <f t="shared" si="224"/>
        <v>5.6552452028749478</v>
      </c>
      <c r="AH94" t="str">
        <f t="shared" si="257"/>
        <v>42 Secretarial and related occupations</v>
      </c>
      <c r="AI94" s="322">
        <f t="shared" si="225"/>
        <v>-3.1514208087213169</v>
      </c>
      <c r="AJ94" s="322">
        <f t="shared" si="225"/>
        <v>25.457108958705788</v>
      </c>
      <c r="AK94" s="322">
        <f t="shared" si="225"/>
        <v>0.79739633928452847</v>
      </c>
      <c r="AL94" s="322">
        <f t="shared" si="225"/>
        <v>-0.26777438216454286</v>
      </c>
      <c r="AM94" s="322">
        <f t="shared" si="226"/>
        <v>1.5093529950080065</v>
      </c>
      <c r="AO94" s="322">
        <f t="shared" si="227"/>
        <v>8.6025933330735604E-2</v>
      </c>
      <c r="AP94" s="322">
        <f t="shared" si="228"/>
        <v>3.324168824904139</v>
      </c>
      <c r="AQ94" s="322">
        <f t="shared" si="229"/>
        <v>3.3787212228361563</v>
      </c>
      <c r="AS94" t="str">
        <f t="shared" si="258"/>
        <v>42 Secretarial and related occupations</v>
      </c>
      <c r="AT94" s="322">
        <f t="shared" si="230"/>
        <v>-5.0322017870606857</v>
      </c>
      <c r="AU94" s="322">
        <f t="shared" si="230"/>
        <v>24.924074028068553</v>
      </c>
      <c r="AV94" s="322">
        <f t="shared" si="230"/>
        <v>0.80628385364056587</v>
      </c>
      <c r="AW94" s="322">
        <f t="shared" si="230"/>
        <v>0.2588470358000805</v>
      </c>
      <c r="AX94" s="322">
        <f t="shared" si="231"/>
        <v>1.8197324506043389</v>
      </c>
      <c r="AZ94" s="322">
        <f t="shared" si="232"/>
        <v>0.44099485298469965</v>
      </c>
      <c r="BA94" s="322">
        <f t="shared" si="233"/>
        <v>3.1797620809980165</v>
      </c>
      <c r="BB94" s="322">
        <f t="shared" si="234"/>
        <v>3.4675462451138506</v>
      </c>
      <c r="BD94" t="str">
        <f t="shared" si="259"/>
        <v>42 Secretarial and related occupations</v>
      </c>
      <c r="BE94" s="322">
        <f t="shared" si="235"/>
        <v>-1.8558169825988236</v>
      </c>
      <c r="BF94" s="322">
        <f t="shared" si="235"/>
        <v>-5.6896782113540993</v>
      </c>
      <c r="BG94" s="322">
        <f t="shared" si="235"/>
        <v>-0.56437582413249032</v>
      </c>
      <c r="BH94" s="322">
        <f t="shared" si="235"/>
        <v>-11.197756392175185</v>
      </c>
      <c r="BI94" s="322">
        <f t="shared" si="236"/>
        <v>-7.6564025338830994</v>
      </c>
      <c r="BK94" s="322">
        <f t="shared" si="237"/>
        <v>-7.786049670358997</v>
      </c>
      <c r="BL94" s="322">
        <f t="shared" si="238"/>
        <v>2.0707742066057078</v>
      </c>
      <c r="BM94" s="322">
        <f t="shared" si="239"/>
        <v>-2.7676176551777343</v>
      </c>
      <c r="BO94" t="str">
        <f t="shared" si="260"/>
        <v>42 Secretarial and related occupations</v>
      </c>
      <c r="BP94" s="322">
        <f t="shared" si="240"/>
        <v>-4.8257480305131111</v>
      </c>
      <c r="BQ94" s="322">
        <f t="shared" si="240"/>
        <v>-16.130156266777572</v>
      </c>
      <c r="BR94" s="322">
        <f t="shared" si="240"/>
        <v>-5.6696023224755088</v>
      </c>
      <c r="BS94" s="322">
        <f t="shared" si="240"/>
        <v>-13.173100861500709</v>
      </c>
      <c r="BT94" s="322">
        <f t="shared" si="241"/>
        <v>-11.087475355508714</v>
      </c>
      <c r="BV94" s="322">
        <f t="shared" si="242"/>
        <v>-10.740712470626368</v>
      </c>
      <c r="BW94" s="322">
        <f t="shared" si="243"/>
        <v>1.6059650618506227</v>
      </c>
      <c r="BX94" s="322">
        <f t="shared" si="244"/>
        <v>-5.1583616852989511</v>
      </c>
      <c r="BZ94" t="str">
        <f t="shared" si="261"/>
        <v>42 Secretarial and related occupations</v>
      </c>
      <c r="CA94" s="322">
        <f t="shared" si="245"/>
        <v>-3.9501543961978358</v>
      </c>
      <c r="CB94" s="322">
        <f t="shared" si="245"/>
        <v>-17.537553251774252</v>
      </c>
      <c r="CC94" s="322">
        <f t="shared" si="245"/>
        <v>-6.2392853950833382</v>
      </c>
      <c r="CD94" s="322">
        <f t="shared" si="245"/>
        <v>-15.330932179611501</v>
      </c>
      <c r="CE94" s="322">
        <f t="shared" si="246"/>
        <v>-12.73290202021473</v>
      </c>
      <c r="CG94" s="322">
        <f t="shared" si="247"/>
        <v>-12.402813968283176</v>
      </c>
      <c r="CH94" s="322">
        <f t="shared" si="248"/>
        <v>1.4050433352039482</v>
      </c>
      <c r="CI94" s="322">
        <f t="shared" si="249"/>
        <v>-6.4134237529912426</v>
      </c>
      <c r="CK94" t="str">
        <f t="shared" si="262"/>
        <v>42 Secretarial and related occupations</v>
      </c>
      <c r="CL94" s="322">
        <f t="shared" si="250"/>
        <v>-7.0435592499399791</v>
      </c>
      <c r="CM94" s="322">
        <f t="shared" si="250"/>
        <v>15.643052453271643</v>
      </c>
      <c r="CN94" s="322">
        <f t="shared" si="250"/>
        <v>-4.7884209714249559</v>
      </c>
      <c r="CO94" s="322">
        <f t="shared" si="250"/>
        <v>-2.3561360720150137</v>
      </c>
      <c r="CP94" s="322">
        <f t="shared" si="251"/>
        <v>-2.0930273495401108</v>
      </c>
      <c r="CR94" s="322">
        <f t="shared" si="252"/>
        <v>-3.1737244013360755</v>
      </c>
      <c r="CS94" s="322">
        <f t="shared" si="253"/>
        <v>1.8298578192037507</v>
      </c>
      <c r="CT94" s="322">
        <f t="shared" si="254"/>
        <v>-0.4895262247426535</v>
      </c>
    </row>
    <row r="95" spans="1:98">
      <c r="A95" t="str">
        <f t="shared" si="209"/>
        <v>51 Skilled agricultural and related trades</v>
      </c>
      <c r="B95" s="322">
        <f t="shared" si="210"/>
        <v>7.4367997509919181</v>
      </c>
      <c r="C95" s="322">
        <f t="shared" si="210"/>
        <v>-24.360056916496507</v>
      </c>
      <c r="D95" s="322">
        <f t="shared" si="210"/>
        <v>4.5326177031918435</v>
      </c>
      <c r="E95" s="322">
        <f t="shared" si="210"/>
        <v>6.8593779052023907</v>
      </c>
      <c r="F95" s="322">
        <f t="shared" si="211"/>
        <v>3.8594566519042361</v>
      </c>
      <c r="H95" s="322">
        <f t="shared" si="212"/>
        <v>6.0780928533237244</v>
      </c>
      <c r="I95" s="322">
        <f t="shared" si="213"/>
        <v>4.65019767475503</v>
      </c>
      <c r="J95" s="322">
        <f t="shared" si="214"/>
        <v>8.5018400071116051</v>
      </c>
      <c r="L95" t="str">
        <f t="shared" si="255"/>
        <v>51 Skilled agricultural and related trades</v>
      </c>
      <c r="M95" s="322">
        <f t="shared" si="215"/>
        <v>0.16586671442142542</v>
      </c>
      <c r="N95" s="322">
        <f t="shared" si="215"/>
        <v>-14.988133949250415</v>
      </c>
      <c r="O95" s="322">
        <f t="shared" si="215"/>
        <v>3.42896740742622</v>
      </c>
      <c r="P95" s="322">
        <f t="shared" si="215"/>
        <v>3.086781234908198</v>
      </c>
      <c r="Q95" s="322">
        <f t="shared" si="216"/>
        <v>1.957697208561715</v>
      </c>
      <c r="S95" s="322">
        <f t="shared" si="217"/>
        <v>3.2007173188062454</v>
      </c>
      <c r="T95" s="322">
        <f t="shared" si="218"/>
        <v>3.5307588437883286</v>
      </c>
      <c r="U95" s="322">
        <f t="shared" si="219"/>
        <v>5.6697454710122663</v>
      </c>
      <c r="W95" t="str">
        <f t="shared" si="256"/>
        <v>51 Skilled agricultural and related trades</v>
      </c>
      <c r="X95" s="322">
        <f t="shared" si="220"/>
        <v>-7.1828618284624834</v>
      </c>
      <c r="Y95" s="322">
        <f t="shared" si="220"/>
        <v>-7.1929833221752055</v>
      </c>
      <c r="Z95" s="322">
        <f t="shared" si="220"/>
        <v>2.0316431870462504</v>
      </c>
      <c r="AA95" s="322">
        <f t="shared" si="220"/>
        <v>2.9921658262592299</v>
      </c>
      <c r="AB95" s="322">
        <f t="shared" si="221"/>
        <v>2.0248747865916794</v>
      </c>
      <c r="AD95" s="322">
        <f t="shared" si="222"/>
        <v>2.6709910906307144</v>
      </c>
      <c r="AE95" s="322">
        <f t="shared" si="223"/>
        <v>4.0860050431783534</v>
      </c>
      <c r="AF95" s="322">
        <f t="shared" si="224"/>
        <v>5.7354136878778883</v>
      </c>
      <c r="AH95" t="str">
        <f t="shared" si="257"/>
        <v>51 Skilled agricultural and related trades</v>
      </c>
      <c r="AI95" s="322">
        <f t="shared" si="225"/>
        <v>-3.3094971286388386</v>
      </c>
      <c r="AJ95" s="322">
        <f t="shared" si="225"/>
        <v>-13.403184120160972</v>
      </c>
      <c r="AK95" s="322">
        <f t="shared" si="225"/>
        <v>3.0552889207522194</v>
      </c>
      <c r="AL95" s="322">
        <f t="shared" si="225"/>
        <v>3.004010876030927</v>
      </c>
      <c r="AM95" s="322">
        <f t="shared" si="226"/>
        <v>1.9089130255642184</v>
      </c>
      <c r="AO95" s="322">
        <f t="shared" si="227"/>
        <v>3.0211007219967945</v>
      </c>
      <c r="AP95" s="322">
        <f t="shared" si="228"/>
        <v>4.3478356013208819</v>
      </c>
      <c r="AQ95" s="322">
        <f t="shared" si="229"/>
        <v>6.1738607707178428</v>
      </c>
      <c r="AS95" t="str">
        <f t="shared" si="258"/>
        <v>51 Skilled agricultural and related trades</v>
      </c>
      <c r="AT95" s="322">
        <f t="shared" si="230"/>
        <v>-3.4289990432990414</v>
      </c>
      <c r="AU95" s="322">
        <f t="shared" si="230"/>
        <v>-11.060938700293278</v>
      </c>
      <c r="AV95" s="322">
        <f t="shared" si="230"/>
        <v>2.4832730253425916</v>
      </c>
      <c r="AW95" s="322">
        <f t="shared" si="230"/>
        <v>4.1378292216471602</v>
      </c>
      <c r="AX95" s="322">
        <f t="shared" si="231"/>
        <v>2.601253717749108</v>
      </c>
      <c r="AZ95" s="322">
        <f t="shared" si="232"/>
        <v>3.5833635629186844</v>
      </c>
      <c r="BA95" s="322">
        <f t="shared" si="233"/>
        <v>4.0224582626551708</v>
      </c>
      <c r="BB95" s="322">
        <f t="shared" si="234"/>
        <v>6.3060936744876894</v>
      </c>
      <c r="BD95" t="str">
        <f t="shared" si="259"/>
        <v>51 Skilled agricultural and related trades</v>
      </c>
      <c r="BE95" s="322">
        <f t="shared" si="235"/>
        <v>-0.70177670628297495</v>
      </c>
      <c r="BF95" s="322">
        <f t="shared" si="235"/>
        <v>-22.758968281545975</v>
      </c>
      <c r="BG95" s="322">
        <f t="shared" si="235"/>
        <v>0.38718482054518333</v>
      </c>
      <c r="BH95" s="322">
        <f t="shared" si="235"/>
        <v>1.0426582132658124</v>
      </c>
      <c r="BI95" s="322">
        <f t="shared" si="236"/>
        <v>-0.84138729004371582</v>
      </c>
      <c r="BK95" s="322">
        <f t="shared" si="237"/>
        <v>0.82369291462542904</v>
      </c>
      <c r="BL95" s="322">
        <f t="shared" si="238"/>
        <v>2.9592868860830679</v>
      </c>
      <c r="BM95" s="322">
        <f t="shared" si="239"/>
        <v>3.5178747459804427</v>
      </c>
      <c r="BO95" t="str">
        <f t="shared" si="260"/>
        <v>51 Skilled agricultural and related trades</v>
      </c>
      <c r="BP95" s="322">
        <f t="shared" si="240"/>
        <v>-1.4722864429619786</v>
      </c>
      <c r="BQ95" s="322">
        <f t="shared" si="240"/>
        <v>-25.195911776984715</v>
      </c>
      <c r="BR95" s="322">
        <f t="shared" si="240"/>
        <v>0.12248885648546981</v>
      </c>
      <c r="BS95" s="322">
        <f t="shared" si="240"/>
        <v>-0.61642316960857091</v>
      </c>
      <c r="BT95" s="322">
        <f t="shared" si="241"/>
        <v>-2.1393470280841265</v>
      </c>
      <c r="BV95" s="322">
        <f t="shared" si="242"/>
        <v>-0.3707270713992572</v>
      </c>
      <c r="BW95" s="322">
        <f t="shared" si="243"/>
        <v>2.9886010711904998</v>
      </c>
      <c r="BX95" s="322">
        <f t="shared" si="244"/>
        <v>2.7454170926298982</v>
      </c>
      <c r="BZ95" t="str">
        <f t="shared" si="261"/>
        <v>51 Skilled agricultural and related trades</v>
      </c>
      <c r="CA95" s="322">
        <f t="shared" si="245"/>
        <v>-3.5569566880138792</v>
      </c>
      <c r="CB95" s="322">
        <f t="shared" si="245"/>
        <v>-0.90366141752308282</v>
      </c>
      <c r="CC95" s="322">
        <f t="shared" si="245"/>
        <v>-0.94963557341857241</v>
      </c>
      <c r="CD95" s="322">
        <f t="shared" si="245"/>
        <v>1.6536654930281669</v>
      </c>
      <c r="CE95" s="322">
        <f t="shared" si="246"/>
        <v>0.67242427309939234</v>
      </c>
      <c r="CG95" s="322">
        <f t="shared" si="247"/>
        <v>0.77838354643435803</v>
      </c>
      <c r="CH95" s="322">
        <f t="shared" si="248"/>
        <v>2.6040885124665403</v>
      </c>
      <c r="CI95" s="322">
        <f t="shared" si="249"/>
        <v>3.1565007487529551</v>
      </c>
      <c r="CK95" t="str">
        <f t="shared" si="262"/>
        <v>51 Skilled agricultural and related trades</v>
      </c>
      <c r="CL95" s="322">
        <f t="shared" si="250"/>
        <v>-5.053889606065165</v>
      </c>
      <c r="CM95" s="322">
        <f t="shared" si="250"/>
        <v>-21.631879372965102</v>
      </c>
      <c r="CN95" s="322">
        <f t="shared" si="250"/>
        <v>-4.6842356785072532</v>
      </c>
      <c r="CO95" s="322">
        <f t="shared" si="250"/>
        <v>-4.5044307098528025</v>
      </c>
      <c r="CP95" s="322">
        <f t="shared" si="251"/>
        <v>-5.732452619687689</v>
      </c>
      <c r="CR95" s="322">
        <f t="shared" si="252"/>
        <v>-4.5644033552378556</v>
      </c>
      <c r="CS95" s="322">
        <f t="shared" si="253"/>
        <v>1.6302073696274233</v>
      </c>
      <c r="CT95" s="322">
        <f t="shared" si="254"/>
        <v>-1.7213359345986556</v>
      </c>
    </row>
    <row r="96" spans="1:98">
      <c r="A96" t="str">
        <f t="shared" si="209"/>
        <v>52 Skilled metal, electrical and electronic trades</v>
      </c>
      <c r="B96" s="322">
        <f t="shared" si="210"/>
        <v>-3.2859252559340191</v>
      </c>
      <c r="C96" s="322">
        <f t="shared" si="210"/>
        <v>-25.396848274990159</v>
      </c>
      <c r="D96" s="322">
        <f t="shared" si="210"/>
        <v>4.4905466470158695</v>
      </c>
      <c r="E96" s="322">
        <f t="shared" si="210"/>
        <v>3.7872093820960462</v>
      </c>
      <c r="F96" s="322">
        <f t="shared" si="211"/>
        <v>1.8823099672510279</v>
      </c>
      <c r="H96" s="322">
        <f t="shared" si="212"/>
        <v>4.0211275305508387</v>
      </c>
      <c r="I96" s="322">
        <f t="shared" si="213"/>
        <v>3.0590774812670363</v>
      </c>
      <c r="J96" s="322">
        <f t="shared" si="214"/>
        <v>5.9446770130294091</v>
      </c>
      <c r="L96" t="str">
        <f t="shared" si="255"/>
        <v>52 Skilled metal, electrical and electronic trades</v>
      </c>
      <c r="M96" s="322">
        <f t="shared" si="215"/>
        <v>6.1884155043118616</v>
      </c>
      <c r="N96" s="322">
        <f t="shared" si="215"/>
        <v>-32.220772799716045</v>
      </c>
      <c r="O96" s="322">
        <f t="shared" si="215"/>
        <v>9.4899890531061395</v>
      </c>
      <c r="P96" s="322">
        <f t="shared" si="215"/>
        <v>4.9115874549954253</v>
      </c>
      <c r="Q96" s="322">
        <f t="shared" si="216"/>
        <v>3.4576724866912656</v>
      </c>
      <c r="S96" s="322">
        <f t="shared" si="217"/>
        <v>6.4160439396745206</v>
      </c>
      <c r="T96" s="322">
        <f t="shared" si="218"/>
        <v>4.0841352778105078</v>
      </c>
      <c r="U96" s="322">
        <f t="shared" si="219"/>
        <v>8.4246918596826426</v>
      </c>
      <c r="W96" t="str">
        <f t="shared" si="256"/>
        <v>52 Skilled metal, electrical and electronic trades</v>
      </c>
      <c r="X96" s="322">
        <f t="shared" si="220"/>
        <v>-1.8305549407208521</v>
      </c>
      <c r="Y96" s="322">
        <f t="shared" si="220"/>
        <v>-21.607168569612401</v>
      </c>
      <c r="Z96" s="322">
        <f t="shared" si="220"/>
        <v>3.4104970520118183</v>
      </c>
      <c r="AA96" s="322">
        <f t="shared" si="220"/>
        <v>1.9138183610598603</v>
      </c>
      <c r="AB96" s="322">
        <f t="shared" si="221"/>
        <v>0.71389410855458024</v>
      </c>
      <c r="AD96" s="322">
        <f t="shared" si="222"/>
        <v>2.4102887884109636</v>
      </c>
      <c r="AE96" s="322">
        <f t="shared" si="223"/>
        <v>3.1847680431465797</v>
      </c>
      <c r="AF96" s="322">
        <f t="shared" si="224"/>
        <v>4.8327957252366049</v>
      </c>
      <c r="AH96" t="str">
        <f t="shared" si="257"/>
        <v>52 Skilled metal, electrical and electronic trades</v>
      </c>
      <c r="AI96" s="322">
        <f t="shared" si="225"/>
        <v>-3.0779229891317761</v>
      </c>
      <c r="AJ96" s="322">
        <f t="shared" si="225"/>
        <v>-16.831027716242264</v>
      </c>
      <c r="AK96" s="322">
        <f t="shared" si="225"/>
        <v>1.840642366455536</v>
      </c>
      <c r="AL96" s="322">
        <f t="shared" si="225"/>
        <v>1.8787170649734897</v>
      </c>
      <c r="AM96" s="322">
        <f t="shared" si="226"/>
        <v>0.58312016877504202</v>
      </c>
      <c r="AO96" s="322">
        <f t="shared" si="227"/>
        <v>1.8660239174175253</v>
      </c>
      <c r="AP96" s="322">
        <f t="shared" si="228"/>
        <v>2.7245821118112579</v>
      </c>
      <c r="AQ96" s="322">
        <f t="shared" si="229"/>
        <v>4.05861273570296</v>
      </c>
      <c r="AS96" t="str">
        <f t="shared" si="258"/>
        <v>52 Skilled metal, electrical and electronic trades</v>
      </c>
      <c r="AT96" s="322">
        <f t="shared" si="230"/>
        <v>-2.9998083752358129</v>
      </c>
      <c r="AU96" s="322">
        <f t="shared" si="230"/>
        <v>-13.820757993792887</v>
      </c>
      <c r="AV96" s="322">
        <f t="shared" si="230"/>
        <v>0.63292513034927111</v>
      </c>
      <c r="AW96" s="322">
        <f t="shared" si="230"/>
        <v>0.9653083654781236</v>
      </c>
      <c r="AX96" s="322">
        <f t="shared" si="231"/>
        <v>-0.1319529752041193</v>
      </c>
      <c r="AZ96" s="322">
        <f t="shared" si="232"/>
        <v>0.85439215052767192</v>
      </c>
      <c r="BA96" s="322">
        <f t="shared" si="233"/>
        <v>2.5389062627554138</v>
      </c>
      <c r="BB96" s="322">
        <f t="shared" si="234"/>
        <v>3.1514301046991378</v>
      </c>
      <c r="BD96" t="str">
        <f t="shared" si="259"/>
        <v>52 Skilled metal, electrical and electronic trades</v>
      </c>
      <c r="BE96" s="322">
        <f t="shared" si="235"/>
        <v>1.637731515659091</v>
      </c>
      <c r="BF96" s="322">
        <f t="shared" si="235"/>
        <v>-17.147884505537792</v>
      </c>
      <c r="BG96" s="322">
        <f t="shared" si="235"/>
        <v>4.1209420064358682E-2</v>
      </c>
      <c r="BH96" s="322">
        <f t="shared" si="235"/>
        <v>-0.39141821666722754</v>
      </c>
      <c r="BI96" s="322">
        <f t="shared" si="236"/>
        <v>-1.398081582967714</v>
      </c>
      <c r="BK96" s="322">
        <f t="shared" si="237"/>
        <v>-0.24741728227773985</v>
      </c>
      <c r="BL96" s="322">
        <f t="shared" si="238"/>
        <v>1.9998421544624279</v>
      </c>
      <c r="BM96" s="322">
        <f t="shared" si="239"/>
        <v>1.8131671295149587</v>
      </c>
      <c r="BO96" t="str">
        <f t="shared" si="260"/>
        <v>52 Skilled metal, electrical and electronic trades</v>
      </c>
      <c r="BP96" s="322">
        <f t="shared" si="240"/>
        <v>0.43751171027854863</v>
      </c>
      <c r="BQ96" s="322">
        <f t="shared" si="240"/>
        <v>-20.389821210922644</v>
      </c>
      <c r="BR96" s="322">
        <f t="shared" si="240"/>
        <v>0.19296892685896072</v>
      </c>
      <c r="BS96" s="322">
        <f t="shared" si="240"/>
        <v>-1.5375354275912856</v>
      </c>
      <c r="BT96" s="322">
        <f t="shared" si="241"/>
        <v>-2.3063433003685074</v>
      </c>
      <c r="BV96" s="322">
        <f t="shared" si="242"/>
        <v>-0.96404737071417168</v>
      </c>
      <c r="BW96" s="322">
        <f t="shared" si="243"/>
        <v>2.0929729465764435</v>
      </c>
      <c r="BX96" s="322">
        <f t="shared" si="244"/>
        <v>1.3849502489003518</v>
      </c>
      <c r="BZ96" t="str">
        <f t="shared" si="261"/>
        <v>52 Skilled metal, electrical and electronic trades</v>
      </c>
      <c r="CA96" s="322">
        <f t="shared" si="245"/>
        <v>-3.3061684757123677</v>
      </c>
      <c r="CB96" s="322">
        <f t="shared" si="245"/>
        <v>-13.108623214195358</v>
      </c>
      <c r="CC96" s="322">
        <f t="shared" si="245"/>
        <v>-4.1469604739588162</v>
      </c>
      <c r="CD96" s="322">
        <f t="shared" si="245"/>
        <v>-6.1633962530461712</v>
      </c>
      <c r="CE96" s="322">
        <f t="shared" si="246"/>
        <v>-5.9907564182968942</v>
      </c>
      <c r="CG96" s="322">
        <f t="shared" si="247"/>
        <v>-5.4960088581915478</v>
      </c>
      <c r="CH96" s="322">
        <f t="shared" si="248"/>
        <v>1.4787568690628028</v>
      </c>
      <c r="CI96" s="322">
        <f t="shared" si="249"/>
        <v>-2.5899384142927806</v>
      </c>
      <c r="CK96" t="str">
        <f t="shared" si="262"/>
        <v>52 Skilled metal, electrical and electronic trades</v>
      </c>
      <c r="CL96" s="322">
        <f t="shared" si="250"/>
        <v>-4.4729506099245313</v>
      </c>
      <c r="CM96" s="322">
        <f t="shared" si="250"/>
        <v>-21.629753783366812</v>
      </c>
      <c r="CN96" s="322">
        <f t="shared" si="250"/>
        <v>-10.69835489031753</v>
      </c>
      <c r="CO96" s="322">
        <f t="shared" si="250"/>
        <v>-5.6933472493469583</v>
      </c>
      <c r="CP96" s="322">
        <f t="shared" si="251"/>
        <v>-8.3532669001890714</v>
      </c>
      <c r="CR96" s="322">
        <f t="shared" si="252"/>
        <v>-7.3920991262122708</v>
      </c>
      <c r="CS96" s="322">
        <f t="shared" si="253"/>
        <v>1.1046153677547688</v>
      </c>
      <c r="CT96" s="322">
        <f t="shared" si="254"/>
        <v>-4.577705153342726</v>
      </c>
    </row>
    <row r="97" spans="1:98">
      <c r="A97" t="str">
        <f t="shared" si="209"/>
        <v>53 Skilled construction and building trades</v>
      </c>
      <c r="B97" s="322">
        <f t="shared" si="210"/>
        <v>-4.0439350283898783</v>
      </c>
      <c r="C97" s="322">
        <f t="shared" si="210"/>
        <v>-38.070375761883035</v>
      </c>
      <c r="D97" s="322">
        <f t="shared" si="210"/>
        <v>6.8990351804371297</v>
      </c>
      <c r="E97" s="322">
        <f t="shared" si="210"/>
        <v>0.36420600838362738</v>
      </c>
      <c r="F97" s="322">
        <f t="shared" si="211"/>
        <v>-0.68044980545866052</v>
      </c>
      <c r="H97" s="322">
        <f t="shared" si="212"/>
        <v>2.4968449781578306</v>
      </c>
      <c r="I97" s="322">
        <f t="shared" si="213"/>
        <v>2.9610517258678914</v>
      </c>
      <c r="J97" s="322">
        <f t="shared" si="214"/>
        <v>4.718175007984815</v>
      </c>
      <c r="L97" t="str">
        <f t="shared" si="255"/>
        <v>53 Skilled construction and building trades</v>
      </c>
      <c r="M97" s="322">
        <f t="shared" si="215"/>
        <v>5.6503751899322108</v>
      </c>
      <c r="N97" s="322">
        <f t="shared" si="215"/>
        <v>-29.024478814671284</v>
      </c>
      <c r="O97" s="322">
        <f t="shared" si="215"/>
        <v>6.3119664868192649</v>
      </c>
      <c r="P97" s="322">
        <f t="shared" si="215"/>
        <v>3.6121005650102678</v>
      </c>
      <c r="Q97" s="322">
        <f t="shared" si="216"/>
        <v>2.0076536673844236</v>
      </c>
      <c r="S97" s="322">
        <f t="shared" si="217"/>
        <v>4.5043502594214191</v>
      </c>
      <c r="T97" s="322">
        <f t="shared" si="218"/>
        <v>3.4983808270514505</v>
      </c>
      <c r="U97" s="322">
        <f t="shared" si="219"/>
        <v>6.6085609285893243</v>
      </c>
      <c r="W97" t="str">
        <f t="shared" si="256"/>
        <v>53 Skilled construction and building trades</v>
      </c>
      <c r="X97" s="322">
        <f t="shared" si="220"/>
        <v>-2.2261985385310878</v>
      </c>
      <c r="Y97" s="322">
        <f t="shared" si="220"/>
        <v>-19.475696459470637</v>
      </c>
      <c r="Z97" s="322">
        <f t="shared" si="220"/>
        <v>2.7539037169872493</v>
      </c>
      <c r="AA97" s="322">
        <f t="shared" si="220"/>
        <v>0.98357850305650363</v>
      </c>
      <c r="AB97" s="322">
        <f t="shared" si="221"/>
        <v>0.10692863414456522</v>
      </c>
      <c r="AD97" s="322">
        <f t="shared" si="222"/>
        <v>1.5702717430101876</v>
      </c>
      <c r="AE97" s="322">
        <f t="shared" si="223"/>
        <v>3.0961966912807171</v>
      </c>
      <c r="AF97" s="322">
        <f t="shared" si="224"/>
        <v>4.1609837888775258</v>
      </c>
      <c r="AH97" t="str">
        <f t="shared" si="257"/>
        <v>53 Skilled construction and building trades</v>
      </c>
      <c r="AI97" s="322">
        <f t="shared" si="225"/>
        <v>1.8187633270064785</v>
      </c>
      <c r="AJ97" s="322">
        <f t="shared" si="225"/>
        <v>-12.12708283284336</v>
      </c>
      <c r="AK97" s="322">
        <f t="shared" si="225"/>
        <v>2.8070561085793866</v>
      </c>
      <c r="AL97" s="322">
        <f t="shared" si="225"/>
        <v>1.3955433681245522</v>
      </c>
      <c r="AM97" s="322">
        <f t="shared" si="226"/>
        <v>0.92758826073080503</v>
      </c>
      <c r="AO97" s="322">
        <f t="shared" si="227"/>
        <v>1.8638810709176612</v>
      </c>
      <c r="AP97" s="322">
        <f t="shared" si="228"/>
        <v>3.3030438504201065</v>
      </c>
      <c r="AQ97" s="322">
        <f t="shared" si="229"/>
        <v>4.5432668116171415</v>
      </c>
      <c r="AS97" t="str">
        <f t="shared" si="258"/>
        <v>53 Skilled construction and building trades</v>
      </c>
      <c r="AT97" s="322">
        <f t="shared" si="230"/>
        <v>2.5305771452034609</v>
      </c>
      <c r="AU97" s="322">
        <f t="shared" si="230"/>
        <v>-14.005462216397168</v>
      </c>
      <c r="AV97" s="322">
        <f t="shared" si="230"/>
        <v>2.2421563721471971</v>
      </c>
      <c r="AW97" s="322">
        <f t="shared" si="230"/>
        <v>0.26426243263908411</v>
      </c>
      <c r="AX97" s="322">
        <f t="shared" si="231"/>
        <v>-8.5123374961681986E-2</v>
      </c>
      <c r="AZ97" s="322">
        <f t="shared" si="232"/>
        <v>0.91927202661785667</v>
      </c>
      <c r="BA97" s="322">
        <f t="shared" si="233"/>
        <v>2.9924305164060527</v>
      </c>
      <c r="BB97" s="322">
        <f t="shared" si="234"/>
        <v>3.6145486307957109</v>
      </c>
      <c r="BD97" t="str">
        <f t="shared" si="259"/>
        <v>53 Skilled construction and building trades</v>
      </c>
      <c r="BE97" s="322">
        <f t="shared" si="235"/>
        <v>4.2135712229488975</v>
      </c>
      <c r="BF97" s="322">
        <f t="shared" si="235"/>
        <v>-17.687134739333299</v>
      </c>
      <c r="BG97" s="322">
        <f t="shared" si="235"/>
        <v>-0.1741954987516614</v>
      </c>
      <c r="BH97" s="322">
        <f t="shared" si="235"/>
        <v>-1.2384243460462629</v>
      </c>
      <c r="BI97" s="322">
        <f t="shared" si="236"/>
        <v>-2.028982241484123</v>
      </c>
      <c r="BK97" s="322">
        <f t="shared" si="237"/>
        <v>-0.88494802893085422</v>
      </c>
      <c r="BL97" s="322">
        <f t="shared" si="238"/>
        <v>2.0942316208561129</v>
      </c>
      <c r="BM97" s="322">
        <f t="shared" si="239"/>
        <v>1.4433908207325485</v>
      </c>
      <c r="BO97" t="str">
        <f t="shared" si="260"/>
        <v>53 Skilled construction and building trades</v>
      </c>
      <c r="BP97" s="322">
        <f t="shared" si="240"/>
        <v>6.0687316785899004</v>
      </c>
      <c r="BQ97" s="322">
        <f t="shared" si="240"/>
        <v>-20.736375625333594</v>
      </c>
      <c r="BR97" s="322">
        <f t="shared" si="240"/>
        <v>1.910466339416006</v>
      </c>
      <c r="BS97" s="322">
        <f t="shared" si="240"/>
        <v>-0.73170711053165416</v>
      </c>
      <c r="BT97" s="322">
        <f t="shared" si="241"/>
        <v>-1.3113773346610902</v>
      </c>
      <c r="BV97" s="322">
        <f t="shared" si="242"/>
        <v>0.14131697461394754</v>
      </c>
      <c r="BW97" s="322">
        <f t="shared" si="243"/>
        <v>2.6960858645535657</v>
      </c>
      <c r="BX97" s="322">
        <f t="shared" si="244"/>
        <v>2.7937751401949207</v>
      </c>
      <c r="BZ97" t="str">
        <f t="shared" si="261"/>
        <v>53 Skilled construction and building trades</v>
      </c>
      <c r="CA97" s="322">
        <f t="shared" si="245"/>
        <v>-2.0332464083860913E-2</v>
      </c>
      <c r="CB97" s="322">
        <f t="shared" si="245"/>
        <v>-13.292557038138531</v>
      </c>
      <c r="CC97" s="322">
        <f t="shared" si="245"/>
        <v>-3.2778809353930183</v>
      </c>
      <c r="CD97" s="322">
        <f t="shared" si="245"/>
        <v>-3.7169411910203509</v>
      </c>
      <c r="CE97" s="322">
        <f t="shared" si="246"/>
        <v>-4.2091534449867023</v>
      </c>
      <c r="CG97" s="322">
        <f t="shared" si="247"/>
        <v>-3.570809672616293</v>
      </c>
      <c r="CH97" s="322">
        <f t="shared" si="248"/>
        <v>1.7900909027737333</v>
      </c>
      <c r="CI97" s="322">
        <f t="shared" si="249"/>
        <v>-0.81476677089888927</v>
      </c>
      <c r="CK97" t="str">
        <f t="shared" si="262"/>
        <v>53 Skilled construction and building trades</v>
      </c>
      <c r="CL97" s="322">
        <f t="shared" si="250"/>
        <v>0.6723632167466409</v>
      </c>
      <c r="CM97" s="322">
        <f t="shared" si="250"/>
        <v>-18.660612399745979</v>
      </c>
      <c r="CN97" s="322">
        <f t="shared" si="250"/>
        <v>-12.905363312314844</v>
      </c>
      <c r="CO97" s="322">
        <f t="shared" si="250"/>
        <v>-15.754645544923051</v>
      </c>
      <c r="CP97" s="322">
        <f t="shared" si="251"/>
        <v>-15.060959933938101</v>
      </c>
      <c r="CR97" s="322">
        <f t="shared" si="252"/>
        <v>-14.815395402130537</v>
      </c>
      <c r="CS97" s="322">
        <f t="shared" si="253"/>
        <v>0.75893707497844964</v>
      </c>
      <c r="CT97" s="322">
        <f t="shared" si="254"/>
        <v>-9.8717688547075966</v>
      </c>
    </row>
    <row r="98" spans="1:98">
      <c r="A98" t="str">
        <f t="shared" si="209"/>
        <v>54 Textiles, printing and other skilled trades</v>
      </c>
      <c r="B98" s="322">
        <f t="shared" si="210"/>
        <v>0.12822753334722492</v>
      </c>
      <c r="C98" s="322">
        <f t="shared" si="210"/>
        <v>-11.923001284500302</v>
      </c>
      <c r="D98" s="322">
        <f t="shared" si="210"/>
        <v>6.6220893781745227</v>
      </c>
      <c r="E98" s="322">
        <f t="shared" si="210"/>
        <v>2.6845542141479717</v>
      </c>
      <c r="F98" s="322">
        <f t="shared" si="211"/>
        <v>2.9074589461238975</v>
      </c>
      <c r="H98" s="322">
        <f t="shared" si="212"/>
        <v>3.9806379471757136</v>
      </c>
      <c r="I98" s="322">
        <f t="shared" si="213"/>
        <v>3.5188459325830257</v>
      </c>
      <c r="J98" s="322">
        <f t="shared" si="214"/>
        <v>6.2302744494161066</v>
      </c>
      <c r="L98" t="str">
        <f t="shared" si="255"/>
        <v>54 Textiles, printing and other skilled trades</v>
      </c>
      <c r="M98" s="322">
        <f t="shared" si="215"/>
        <v>6.2976024614618487</v>
      </c>
      <c r="N98" s="322">
        <f t="shared" si="215"/>
        <v>6.0450700155061599</v>
      </c>
      <c r="O98" s="322">
        <f t="shared" si="215"/>
        <v>5.4085686208416694</v>
      </c>
      <c r="P98" s="322">
        <f t="shared" si="215"/>
        <v>4.6627935006243293</v>
      </c>
      <c r="Q98" s="322">
        <f t="shared" si="216"/>
        <v>4.9813323510135232</v>
      </c>
      <c r="S98" s="322">
        <f t="shared" si="217"/>
        <v>4.9107970866289818</v>
      </c>
      <c r="T98" s="322">
        <f t="shared" si="218"/>
        <v>3.9508863210362399</v>
      </c>
      <c r="U98" s="322">
        <f t="shared" si="219"/>
        <v>7.2085918438850261</v>
      </c>
      <c r="W98" t="str">
        <f t="shared" si="256"/>
        <v>54 Textiles, printing and other skilled trades</v>
      </c>
      <c r="X98" s="322">
        <f t="shared" si="220"/>
        <v>-4.1534421573628855</v>
      </c>
      <c r="Y98" s="322">
        <f t="shared" si="220"/>
        <v>10.832179687012511</v>
      </c>
      <c r="Z98" s="322">
        <f t="shared" si="220"/>
        <v>3.9030526736458127</v>
      </c>
      <c r="AA98" s="322">
        <f t="shared" si="220"/>
        <v>2.3284928904967028</v>
      </c>
      <c r="AB98" s="322">
        <f t="shared" si="221"/>
        <v>3.3322353249529035</v>
      </c>
      <c r="AD98" s="322">
        <f t="shared" si="222"/>
        <v>2.8506769050734793</v>
      </c>
      <c r="AE98" s="322">
        <f t="shared" si="223"/>
        <v>3.6946934986062718</v>
      </c>
      <c r="AF98" s="322">
        <f t="shared" si="224"/>
        <v>5.5477408616143586</v>
      </c>
      <c r="AH98" t="str">
        <f t="shared" si="257"/>
        <v>54 Textiles, printing and other skilled trades</v>
      </c>
      <c r="AI98" s="322">
        <f t="shared" si="225"/>
        <v>-6.0556824960285249</v>
      </c>
      <c r="AJ98" s="322">
        <f t="shared" si="225"/>
        <v>22.560273543840115</v>
      </c>
      <c r="AK98" s="322">
        <f t="shared" si="225"/>
        <v>0.94764280163652792</v>
      </c>
      <c r="AL98" s="322">
        <f t="shared" si="225"/>
        <v>1.7946930329589161</v>
      </c>
      <c r="AM98" s="322">
        <f t="shared" si="226"/>
        <v>2.714114216287622</v>
      </c>
      <c r="AO98" s="322">
        <f t="shared" si="227"/>
        <v>1.5115561548603385</v>
      </c>
      <c r="AP98" s="322">
        <f t="shared" si="228"/>
        <v>3.3759627748740195</v>
      </c>
      <c r="AQ98" s="322">
        <f t="shared" si="229"/>
        <v>4.3640268769314261</v>
      </c>
      <c r="AS98" t="str">
        <f t="shared" si="258"/>
        <v>54 Textiles, printing and other skilled trades</v>
      </c>
      <c r="AT98" s="322">
        <f t="shared" si="230"/>
        <v>-5.863037481285871</v>
      </c>
      <c r="AU98" s="322">
        <f t="shared" si="230"/>
        <v>16.549176255627817</v>
      </c>
      <c r="AV98" s="322">
        <f t="shared" si="230"/>
        <v>1.9743630697653058</v>
      </c>
      <c r="AW98" s="322">
        <f t="shared" si="230"/>
        <v>1.6017867410114572</v>
      </c>
      <c r="AX98" s="322">
        <f t="shared" si="231"/>
        <v>2.5943878075919136</v>
      </c>
      <c r="AZ98" s="322">
        <f t="shared" si="232"/>
        <v>1.7258273538999447</v>
      </c>
      <c r="BA98" s="322">
        <f t="shared" si="233"/>
        <v>3.2608578378532149</v>
      </c>
      <c r="BB98" s="322">
        <f t="shared" si="234"/>
        <v>4.4114404400550589</v>
      </c>
      <c r="BD98" t="str">
        <f t="shared" si="259"/>
        <v>54 Textiles, printing and other skilled trades</v>
      </c>
      <c r="BE98" s="322">
        <f t="shared" si="235"/>
        <v>-0.25407688433227715</v>
      </c>
      <c r="BF98" s="322">
        <f t="shared" si="235"/>
        <v>-6.169331380069087</v>
      </c>
      <c r="BG98" s="322">
        <f t="shared" si="235"/>
        <v>3.1830379073069182</v>
      </c>
      <c r="BH98" s="322">
        <f t="shared" si="235"/>
        <v>0.22129819997400713</v>
      </c>
      <c r="BI98" s="322">
        <f t="shared" si="236"/>
        <v>0.72195867517175216</v>
      </c>
      <c r="BK98" s="322">
        <f t="shared" si="237"/>
        <v>1.1989763170730638</v>
      </c>
      <c r="BL98" s="322">
        <f t="shared" si="238"/>
        <v>2.5517823307671161</v>
      </c>
      <c r="BM98" s="322">
        <f t="shared" si="239"/>
        <v>3.415988502831957</v>
      </c>
      <c r="BO98" t="str">
        <f t="shared" si="260"/>
        <v>54 Textiles, printing and other skilled trades</v>
      </c>
      <c r="BP98" s="322">
        <f t="shared" si="240"/>
        <v>-3.0560939514919006</v>
      </c>
      <c r="BQ98" s="322">
        <f t="shared" si="240"/>
        <v>-7.3103488359144926</v>
      </c>
      <c r="BR98" s="322">
        <f t="shared" si="240"/>
        <v>0.84163425466483588</v>
      </c>
      <c r="BS98" s="322">
        <f t="shared" si="240"/>
        <v>-1.0638250188166998</v>
      </c>
      <c r="BT98" s="322">
        <f t="shared" si="241"/>
        <v>-0.87713151882942153</v>
      </c>
      <c r="BV98" s="322">
        <f t="shared" si="242"/>
        <v>-0.4327064239213918</v>
      </c>
      <c r="BW98" s="322">
        <f t="shared" si="243"/>
        <v>2.2915377456347086</v>
      </c>
      <c r="BX98" s="322">
        <f t="shared" si="244"/>
        <v>1.9792257569830829</v>
      </c>
      <c r="BZ98" t="str">
        <f t="shared" si="261"/>
        <v>54 Textiles, printing and other skilled trades</v>
      </c>
      <c r="CA98" s="322">
        <f t="shared" si="245"/>
        <v>-4.784251445871246</v>
      </c>
      <c r="CB98" s="322">
        <f t="shared" si="245"/>
        <v>-3.216931342270446</v>
      </c>
      <c r="CC98" s="322">
        <f t="shared" si="245"/>
        <v>-1.4376621051969019</v>
      </c>
      <c r="CD98" s="322">
        <f t="shared" si="245"/>
        <v>-4.9112734983753237</v>
      </c>
      <c r="CE98" s="322">
        <f t="shared" si="246"/>
        <v>-3.7329214074782624</v>
      </c>
      <c r="CG98" s="322">
        <f t="shared" si="247"/>
        <v>-3.7672227708135164</v>
      </c>
      <c r="CH98" s="322">
        <f t="shared" si="248"/>
        <v>1.7649625725240092</v>
      </c>
      <c r="CI98" s="322">
        <f t="shared" si="249"/>
        <v>-0.98332969519763225</v>
      </c>
      <c r="CK98" t="str">
        <f t="shared" si="262"/>
        <v>54 Textiles, printing and other skilled trades</v>
      </c>
      <c r="CL98" s="322">
        <f t="shared" si="250"/>
        <v>-7.1429371659181173</v>
      </c>
      <c r="CM98" s="322">
        <f t="shared" si="250"/>
        <v>5.8452663073421229</v>
      </c>
      <c r="CN98" s="322">
        <f t="shared" si="250"/>
        <v>-10.830853932109086</v>
      </c>
      <c r="CO98" s="322">
        <f t="shared" si="250"/>
        <v>-4.3544434066414066</v>
      </c>
      <c r="CP98" s="322">
        <f t="shared" si="251"/>
        <v>-5.8328277574820175</v>
      </c>
      <c r="CR98" s="322">
        <f t="shared" si="252"/>
        <v>-6.5638930553880703</v>
      </c>
      <c r="CS98" s="322">
        <f t="shared" si="253"/>
        <v>1.0847770796448275</v>
      </c>
      <c r="CT98" s="322">
        <f t="shared" si="254"/>
        <v>-4.0620988373523348</v>
      </c>
    </row>
    <row r="99" spans="1:98">
      <c r="A99" t="str">
        <f t="shared" si="209"/>
        <v>61 Caring personal service occupations</v>
      </c>
      <c r="B99" s="322">
        <f t="shared" si="210"/>
        <v>8.9844507437025776</v>
      </c>
      <c r="C99" s="322">
        <f t="shared" si="210"/>
        <v>-0.2927351673776557</v>
      </c>
      <c r="D99" s="322">
        <f t="shared" si="210"/>
        <v>6.5670934538005321</v>
      </c>
      <c r="E99" s="322">
        <f t="shared" si="210"/>
        <v>5.9404529867993494</v>
      </c>
      <c r="F99" s="322">
        <f t="shared" si="211"/>
        <v>5.7343966525954748</v>
      </c>
      <c r="H99" s="322">
        <f t="shared" si="212"/>
        <v>6.1489226467163594</v>
      </c>
      <c r="I99" s="322">
        <f t="shared" si="213"/>
        <v>4.2734074711584968</v>
      </c>
      <c r="J99" s="322">
        <f t="shared" si="214"/>
        <v>8.3302931424517723</v>
      </c>
      <c r="L99" t="str">
        <f t="shared" si="255"/>
        <v>61 Caring personal service occupations</v>
      </c>
      <c r="M99" s="322">
        <f t="shared" si="215"/>
        <v>10.670356758140542</v>
      </c>
      <c r="N99" s="322">
        <f t="shared" si="215"/>
        <v>3.6056868033699674</v>
      </c>
      <c r="O99" s="322">
        <f t="shared" si="215"/>
        <v>7.6501834886721021</v>
      </c>
      <c r="P99" s="322">
        <f t="shared" si="215"/>
        <v>6.668624260126732</v>
      </c>
      <c r="Q99" s="322">
        <f t="shared" si="216"/>
        <v>6.7797808780529545</v>
      </c>
      <c r="S99" s="322">
        <f t="shared" si="217"/>
        <v>6.9948121846899802</v>
      </c>
      <c r="T99" s="322">
        <f t="shared" si="218"/>
        <v>4.7504978760971595</v>
      </c>
      <c r="U99" s="322">
        <f t="shared" si="219"/>
        <v>9.2369382302118339</v>
      </c>
      <c r="W99" t="str">
        <f t="shared" si="256"/>
        <v>61 Caring personal service occupations</v>
      </c>
      <c r="X99" s="322">
        <f t="shared" si="220"/>
        <v>1.1184023118003372</v>
      </c>
      <c r="Y99" s="322">
        <f t="shared" si="220"/>
        <v>16.814966749759908</v>
      </c>
      <c r="Z99" s="322">
        <f t="shared" si="220"/>
        <v>2.827714528860592</v>
      </c>
      <c r="AA99" s="322">
        <f t="shared" si="220"/>
        <v>2.64515678005115</v>
      </c>
      <c r="AB99" s="322">
        <f t="shared" si="221"/>
        <v>3.5355814578745814</v>
      </c>
      <c r="AD99" s="322">
        <f t="shared" si="222"/>
        <v>2.705973322492139</v>
      </c>
      <c r="AE99" s="322">
        <f t="shared" si="223"/>
        <v>4.142059074901594</v>
      </c>
      <c r="AF99" s="322">
        <f t="shared" si="224"/>
        <v>5.8034862266244991</v>
      </c>
      <c r="AH99" t="str">
        <f t="shared" si="257"/>
        <v>61 Caring personal service occupations</v>
      </c>
      <c r="AI99" s="322">
        <f t="shared" si="225"/>
        <v>-1.7729038318387014</v>
      </c>
      <c r="AJ99" s="322">
        <f t="shared" si="225"/>
        <v>19.046283783995264</v>
      </c>
      <c r="AK99" s="322">
        <f t="shared" si="225"/>
        <v>-0.9456874308505836</v>
      </c>
      <c r="AL99" s="322">
        <f t="shared" si="225"/>
        <v>1.0165974499107833</v>
      </c>
      <c r="AM99" s="322">
        <f t="shared" si="226"/>
        <v>1.4350701907466457</v>
      </c>
      <c r="AO99" s="322">
        <f t="shared" si="227"/>
        <v>0.35822083610861366</v>
      </c>
      <c r="AP99" s="322">
        <f t="shared" si="228"/>
        <v>3.1646624410378132</v>
      </c>
      <c r="AQ99" s="322">
        <f t="shared" si="229"/>
        <v>3.3984056266642915</v>
      </c>
      <c r="AS99" t="str">
        <f t="shared" si="258"/>
        <v>61 Caring personal service occupations</v>
      </c>
      <c r="AT99" s="322">
        <f t="shared" si="230"/>
        <v>0.48540717206340123</v>
      </c>
      <c r="AU99" s="322">
        <f t="shared" si="230"/>
        <v>17.354176818783529</v>
      </c>
      <c r="AV99" s="322">
        <f t="shared" si="230"/>
        <v>-0.33545005125484861</v>
      </c>
      <c r="AW99" s="322">
        <f t="shared" si="230"/>
        <v>1.4477844449177102</v>
      </c>
      <c r="AX99" s="322">
        <f t="shared" si="231"/>
        <v>1.8097182455186767</v>
      </c>
      <c r="AZ99" s="322">
        <f t="shared" si="232"/>
        <v>0.84985570448492531</v>
      </c>
      <c r="BA99" s="322">
        <f t="shared" si="233"/>
        <v>3.3193165117639145</v>
      </c>
      <c r="BB99" s="322">
        <f t="shared" si="234"/>
        <v>3.8695654177743233</v>
      </c>
      <c r="BD99" t="str">
        <f t="shared" si="259"/>
        <v>61 Caring personal service occupations</v>
      </c>
      <c r="BE99" s="322">
        <f t="shared" si="235"/>
        <v>4.9380171941803885</v>
      </c>
      <c r="BF99" s="322">
        <f t="shared" si="235"/>
        <v>-4.9903932424028348</v>
      </c>
      <c r="BG99" s="322">
        <f t="shared" si="235"/>
        <v>1.243389580694032</v>
      </c>
      <c r="BH99" s="322">
        <f t="shared" si="235"/>
        <v>0.7556945991976205</v>
      </c>
      <c r="BI99" s="322">
        <f t="shared" si="236"/>
        <v>0.5381888504031318</v>
      </c>
      <c r="BK99" s="322">
        <f t="shared" si="237"/>
        <v>0.91799800444061219</v>
      </c>
      <c r="BL99" s="322">
        <f t="shared" si="238"/>
        <v>3.2213595854613253</v>
      </c>
      <c r="BM99" s="322">
        <f t="shared" si="239"/>
        <v>3.8243914107782384</v>
      </c>
      <c r="BO99" t="str">
        <f t="shared" si="260"/>
        <v>61 Caring personal service occupations</v>
      </c>
      <c r="BP99" s="322">
        <f t="shared" si="240"/>
        <v>1.8655419381874205</v>
      </c>
      <c r="BQ99" s="322">
        <f t="shared" si="240"/>
        <v>-17.444804828650994</v>
      </c>
      <c r="BR99" s="322">
        <f t="shared" si="240"/>
        <v>0.24937840740011374</v>
      </c>
      <c r="BS99" s="322">
        <f t="shared" si="240"/>
        <v>-2.0220012861081771</v>
      </c>
      <c r="BT99" s="322">
        <f t="shared" si="241"/>
        <v>-2.3685125688014286</v>
      </c>
      <c r="BV99" s="322">
        <f t="shared" si="242"/>
        <v>-1.2706512220663324</v>
      </c>
      <c r="BW99" s="322">
        <f t="shared" si="243"/>
        <v>2.7222312528809356</v>
      </c>
      <c r="BX99" s="322">
        <f t="shared" si="244"/>
        <v>1.8762226367100787</v>
      </c>
      <c r="BZ99" t="str">
        <f t="shared" si="261"/>
        <v>61 Caring personal service occupations</v>
      </c>
      <c r="CA99" s="322">
        <f t="shared" si="245"/>
        <v>-13.125699862355622</v>
      </c>
      <c r="CB99" s="322">
        <f t="shared" si="245"/>
        <v>-18.220750825839538</v>
      </c>
      <c r="CC99" s="322">
        <f t="shared" si="245"/>
        <v>-6.912479740414823</v>
      </c>
      <c r="CD99" s="322">
        <f t="shared" si="245"/>
        <v>-3.2169235023637444</v>
      </c>
      <c r="CE99" s="322">
        <f t="shared" si="246"/>
        <v>-5.3886115167805944</v>
      </c>
      <c r="CG99" s="322">
        <f t="shared" si="247"/>
        <v>-4.4647958714520763</v>
      </c>
      <c r="CH99" s="322">
        <f t="shared" si="248"/>
        <v>1.3648333678176083</v>
      </c>
      <c r="CI99" s="322">
        <f t="shared" si="249"/>
        <v>-2.0805622241837685</v>
      </c>
      <c r="CK99" t="str">
        <f t="shared" si="262"/>
        <v>61 Caring personal service occupations</v>
      </c>
      <c r="CL99" s="322">
        <f t="shared" si="250"/>
        <v>-6.9416659702643209</v>
      </c>
      <c r="CM99" s="322">
        <f t="shared" si="250"/>
        <v>6.762558084714354</v>
      </c>
      <c r="CN99" s="322">
        <f t="shared" si="250"/>
        <v>-4.6128187317871605</v>
      </c>
      <c r="CO99" s="322">
        <f t="shared" si="250"/>
        <v>-3.0630742378262243</v>
      </c>
      <c r="CP99" s="322">
        <f t="shared" si="251"/>
        <v>-2.9662999461933404</v>
      </c>
      <c r="CR99" s="322">
        <f t="shared" si="252"/>
        <v>-3.5824333373754458</v>
      </c>
      <c r="CS99" s="322">
        <f t="shared" si="253"/>
        <v>1.3602591921546114</v>
      </c>
      <c r="CT99" s="322">
        <f t="shared" si="254"/>
        <v>-1.4502864239862467</v>
      </c>
    </row>
    <row r="100" spans="1:98">
      <c r="A100" t="str">
        <f t="shared" si="209"/>
        <v>62 Leisure, travel and related personal service occupations</v>
      </c>
      <c r="B100" s="322">
        <f t="shared" si="210"/>
        <v>15.784650616276497</v>
      </c>
      <c r="C100" s="322">
        <f t="shared" si="210"/>
        <v>6.6996967342741298</v>
      </c>
      <c r="D100" s="322">
        <f t="shared" si="210"/>
        <v>6.8609205340562696</v>
      </c>
      <c r="E100" s="322">
        <f t="shared" si="210"/>
        <v>5.6774015620858931</v>
      </c>
      <c r="F100" s="322">
        <f t="shared" si="211"/>
        <v>6.1096635756537454</v>
      </c>
      <c r="H100" s="322">
        <f t="shared" si="212"/>
        <v>6.0704442423176186</v>
      </c>
      <c r="I100" s="322">
        <f t="shared" si="213"/>
        <v>4.4672724248110862</v>
      </c>
      <c r="J100" s="322">
        <f t="shared" si="214"/>
        <v>8.3864679334302306</v>
      </c>
      <c r="L100" t="str">
        <f t="shared" si="255"/>
        <v>62 Leisure, travel and related personal service occupations</v>
      </c>
      <c r="M100" s="322">
        <f t="shared" si="215"/>
        <v>4.6037718196078936</v>
      </c>
      <c r="N100" s="322">
        <f t="shared" si="215"/>
        <v>-0.36377686597137693</v>
      </c>
      <c r="O100" s="322">
        <f t="shared" si="215"/>
        <v>2.6882820395715878</v>
      </c>
      <c r="P100" s="322">
        <f t="shared" si="215"/>
        <v>5.7425060393996086</v>
      </c>
      <c r="Q100" s="322">
        <f t="shared" si="216"/>
        <v>4.3896292901681511</v>
      </c>
      <c r="S100" s="322">
        <f t="shared" si="217"/>
        <v>4.7144691067540156</v>
      </c>
      <c r="T100" s="322">
        <f t="shared" si="218"/>
        <v>3.7512184655484893</v>
      </c>
      <c r="U100" s="322">
        <f t="shared" si="219"/>
        <v>6.9327034152658396</v>
      </c>
      <c r="W100" t="str">
        <f t="shared" si="256"/>
        <v>62 Leisure, travel and related personal service occupations</v>
      </c>
      <c r="X100" s="322">
        <f t="shared" si="220"/>
        <v>-0.36229299945663707</v>
      </c>
      <c r="Y100" s="322">
        <f t="shared" si="220"/>
        <v>5.8415281233117122</v>
      </c>
      <c r="Z100" s="322">
        <f t="shared" si="220"/>
        <v>2.6459294148406753</v>
      </c>
      <c r="AA100" s="322">
        <f t="shared" si="220"/>
        <v>3.3897965125670337</v>
      </c>
      <c r="AB100" s="322">
        <f t="shared" si="221"/>
        <v>3.3079747617420718</v>
      </c>
      <c r="AD100" s="322">
        <f t="shared" si="222"/>
        <v>3.1412437624962042</v>
      </c>
      <c r="AE100" s="322">
        <f t="shared" si="223"/>
        <v>3.9707928633863077</v>
      </c>
      <c r="AF100" s="322">
        <f t="shared" si="224"/>
        <v>5.9619760692612767</v>
      </c>
      <c r="AH100" t="str">
        <f t="shared" si="257"/>
        <v>62 Leisure, travel and related personal service occupations</v>
      </c>
      <c r="AI100" s="322">
        <f t="shared" si="225"/>
        <v>-1.1986380990050449</v>
      </c>
      <c r="AJ100" s="322">
        <f t="shared" si="225"/>
        <v>8.1998267835412975</v>
      </c>
      <c r="AK100" s="322">
        <f t="shared" si="225"/>
        <v>0.55076511087548408</v>
      </c>
      <c r="AL100" s="322">
        <f t="shared" si="225"/>
        <v>2.8550968050048198</v>
      </c>
      <c r="AM100" s="322">
        <f t="shared" si="226"/>
        <v>2.4532470994035105</v>
      </c>
      <c r="AO100" s="322">
        <f t="shared" si="227"/>
        <v>2.0811775957126022</v>
      </c>
      <c r="AP100" s="322">
        <f t="shared" si="228"/>
        <v>3.6527555441227877</v>
      </c>
      <c r="AQ100" s="322">
        <f t="shared" si="229"/>
        <v>4.9862527749742647</v>
      </c>
      <c r="AS100" t="str">
        <f t="shared" si="258"/>
        <v>62 Leisure, travel and related personal service occupations</v>
      </c>
      <c r="AT100" s="322">
        <f t="shared" si="230"/>
        <v>-1.8497421031917094</v>
      </c>
      <c r="AU100" s="322">
        <f t="shared" si="230"/>
        <v>11.482323705596876</v>
      </c>
      <c r="AV100" s="322">
        <f t="shared" si="230"/>
        <v>0.8831322074539294</v>
      </c>
      <c r="AW100" s="322">
        <f t="shared" si="230"/>
        <v>3.0495428878410058</v>
      </c>
      <c r="AX100" s="322">
        <f t="shared" si="231"/>
        <v>2.8720675748973301</v>
      </c>
      <c r="AZ100" s="322">
        <f t="shared" si="232"/>
        <v>2.3222855542980314</v>
      </c>
      <c r="BA100" s="322">
        <f t="shared" si="233"/>
        <v>3.7266244209352983</v>
      </c>
      <c r="BB100" s="322">
        <f t="shared" si="234"/>
        <v>5.2104415143407579</v>
      </c>
      <c r="BD100" t="str">
        <f t="shared" si="259"/>
        <v>62 Leisure, travel and related personal service occupations</v>
      </c>
      <c r="BE100" s="322">
        <f t="shared" si="235"/>
        <v>-3.4346145116493143</v>
      </c>
      <c r="BF100" s="322">
        <f t="shared" si="235"/>
        <v>-9.8156657788462827</v>
      </c>
      <c r="BG100" s="322">
        <f t="shared" si="235"/>
        <v>-1.6256362359476584</v>
      </c>
      <c r="BH100" s="322">
        <f t="shared" si="235"/>
        <v>-0.9300285347709325</v>
      </c>
      <c r="BI100" s="322">
        <f t="shared" si="236"/>
        <v>-1.7268056717339775</v>
      </c>
      <c r="BK100" s="322">
        <f t="shared" si="237"/>
        <v>-1.162442575825029</v>
      </c>
      <c r="BL100" s="322">
        <f t="shared" si="238"/>
        <v>2.2846528329383942</v>
      </c>
      <c r="BM100" s="322">
        <f t="shared" si="239"/>
        <v>1.4577739568270687</v>
      </c>
      <c r="BO100" t="str">
        <f t="shared" si="260"/>
        <v>62 Leisure, travel and related personal service occupations</v>
      </c>
      <c r="BP100" s="322">
        <f t="shared" si="240"/>
        <v>-3.3721980828825382</v>
      </c>
      <c r="BQ100" s="322">
        <f t="shared" si="240"/>
        <v>-18.916749364893239</v>
      </c>
      <c r="BR100" s="322">
        <f t="shared" si="240"/>
        <v>-1.5033691966218399</v>
      </c>
      <c r="BS100" s="322">
        <f t="shared" si="240"/>
        <v>-2.0471000907170467</v>
      </c>
      <c r="BT100" s="322">
        <f t="shared" si="241"/>
        <v>-3.0298231031748779</v>
      </c>
      <c r="BV100" s="322">
        <f t="shared" si="242"/>
        <v>-1.8661907866144523</v>
      </c>
      <c r="BW100" s="322">
        <f t="shared" si="243"/>
        <v>2.4199826050638418</v>
      </c>
      <c r="BX100" s="322">
        <f t="shared" si="244"/>
        <v>1.1395948939826317</v>
      </c>
      <c r="BZ100" t="str">
        <f t="shared" si="261"/>
        <v>62 Leisure, travel and related personal service occupations</v>
      </c>
      <c r="CA100" s="322">
        <f t="shared" si="245"/>
        <v>-4.116797490051427</v>
      </c>
      <c r="CB100" s="322">
        <f t="shared" si="245"/>
        <v>-15.3225171939667</v>
      </c>
      <c r="CC100" s="322">
        <f t="shared" si="245"/>
        <v>-3.4879811191222632</v>
      </c>
      <c r="CD100" s="322">
        <f t="shared" si="245"/>
        <v>-4.5010267050375035</v>
      </c>
      <c r="CE100" s="322">
        <f t="shared" si="246"/>
        <v>-4.9030971435155113</v>
      </c>
      <c r="CG100" s="322">
        <f t="shared" si="247"/>
        <v>-4.1645318898534622</v>
      </c>
      <c r="CH100" s="322">
        <f t="shared" si="248"/>
        <v>1.8779784133760025</v>
      </c>
      <c r="CI100" s="322">
        <f t="shared" si="249"/>
        <v>-1.0757872743767494</v>
      </c>
      <c r="CK100" t="str">
        <f t="shared" si="262"/>
        <v>62 Leisure, travel and related personal service occupations</v>
      </c>
      <c r="CL100" s="322">
        <f t="shared" si="250"/>
        <v>-8.7520637127907701</v>
      </c>
      <c r="CM100" s="322">
        <f t="shared" si="250"/>
        <v>1.9342953660815176</v>
      </c>
      <c r="CN100" s="322">
        <f t="shared" si="250"/>
        <v>-12.208104948866815</v>
      </c>
      <c r="CO100" s="322">
        <f t="shared" si="250"/>
        <v>-5.4556229125286571</v>
      </c>
      <c r="CP100" s="322">
        <f t="shared" si="251"/>
        <v>-7.1842147624468611</v>
      </c>
      <c r="CR100" s="322">
        <f t="shared" si="252"/>
        <v>-7.7622689785952881</v>
      </c>
      <c r="CS100" s="322">
        <f t="shared" si="253"/>
        <v>0.98329128643410701</v>
      </c>
      <c r="CT100" s="322">
        <f t="shared" si="254"/>
        <v>-5.1047322491008407</v>
      </c>
    </row>
    <row r="101" spans="1:98">
      <c r="A101" t="str">
        <f t="shared" si="209"/>
        <v>63 Community and civil enforcement occupations</v>
      </c>
      <c r="B101" s="322">
        <f t="shared" si="210"/>
        <v>12.183341967739736</v>
      </c>
      <c r="C101" s="322">
        <f t="shared" si="210"/>
        <v>-24.000714080275408</v>
      </c>
      <c r="D101" s="322">
        <f t="shared" si="210"/>
        <v>8.8220898989973087</v>
      </c>
      <c r="E101" s="322">
        <f t="shared" si="210"/>
        <v>4.5203165652078381</v>
      </c>
      <c r="F101" s="322">
        <f t="shared" si="211"/>
        <v>3.758843913743104</v>
      </c>
      <c r="H101" s="322">
        <f t="shared" si="212"/>
        <v>5.9350066860992756</v>
      </c>
      <c r="I101" s="322">
        <f t="shared" si="213"/>
        <v>4.5368647104734983</v>
      </c>
      <c r="J101" s="322">
        <f t="shared" si="214"/>
        <v>8.3287993395513951</v>
      </c>
      <c r="L101" t="str">
        <f t="shared" si="255"/>
        <v>63 Community and civil enforcement occupations</v>
      </c>
      <c r="M101" s="322">
        <f t="shared" si="215"/>
        <v>4.6812916378383251</v>
      </c>
      <c r="N101" s="322">
        <f t="shared" si="215"/>
        <v>-1.2680021929748375</v>
      </c>
      <c r="O101" s="322">
        <f t="shared" si="215"/>
        <v>2.2169962507101459</v>
      </c>
      <c r="P101" s="322">
        <f t="shared" si="215"/>
        <v>5.0117177536265212</v>
      </c>
      <c r="Q101" s="322">
        <f t="shared" si="216"/>
        <v>3.7297175309402242</v>
      </c>
      <c r="S101" s="322">
        <f t="shared" si="217"/>
        <v>4.071755397679877</v>
      </c>
      <c r="T101" s="322">
        <f t="shared" si="218"/>
        <v>3.6198705361269123</v>
      </c>
      <c r="U101" s="322">
        <f t="shared" si="219"/>
        <v>6.3677873277898644</v>
      </c>
      <c r="W101" t="str">
        <f t="shared" si="256"/>
        <v>63 Community and civil enforcement occupations</v>
      </c>
      <c r="X101" s="322">
        <f t="shared" si="220"/>
        <v>-1.5885062557993268</v>
      </c>
      <c r="Y101" s="322">
        <f t="shared" si="220"/>
        <v>13.436605361288612</v>
      </c>
      <c r="Z101" s="322">
        <f t="shared" si="220"/>
        <v>1.0926817987685133</v>
      </c>
      <c r="AA101" s="322">
        <f t="shared" si="220"/>
        <v>2.4087298778520561</v>
      </c>
      <c r="AB101" s="322">
        <f t="shared" si="221"/>
        <v>2.6496801649415813</v>
      </c>
      <c r="AD101" s="322">
        <f t="shared" si="222"/>
        <v>1.9681544915543636</v>
      </c>
      <c r="AE101" s="322">
        <f t="shared" si="223"/>
        <v>3.8631763971014754</v>
      </c>
      <c r="AF101" s="322">
        <f t="shared" si="224"/>
        <v>5.0883022550361812</v>
      </c>
      <c r="AH101" t="str">
        <f t="shared" si="257"/>
        <v>63 Community and civil enforcement occupations</v>
      </c>
      <c r="AI101" s="322">
        <f t="shared" si="225"/>
        <v>-4.3056998365211374</v>
      </c>
      <c r="AJ101" s="322">
        <f t="shared" si="225"/>
        <v>29.435386176504473</v>
      </c>
      <c r="AK101" s="322">
        <f t="shared" si="225"/>
        <v>-3.2158848283774133</v>
      </c>
      <c r="AL101" s="322">
        <f t="shared" si="225"/>
        <v>2.5825616144598662</v>
      </c>
      <c r="AM101" s="322">
        <f t="shared" si="226"/>
        <v>2.2087442599376228</v>
      </c>
      <c r="AO101" s="322">
        <f t="shared" si="227"/>
        <v>0.61214031530938406</v>
      </c>
      <c r="AP101" s="322">
        <f t="shared" si="228"/>
        <v>2.9887637402001399</v>
      </c>
      <c r="AQ101" s="322">
        <f t="shared" si="229"/>
        <v>3.4002083746240475</v>
      </c>
      <c r="AS101" t="str">
        <f t="shared" si="258"/>
        <v>63 Community and civil enforcement occupations</v>
      </c>
      <c r="AT101" s="322">
        <f t="shared" si="230"/>
        <v>-4.4372086803785233</v>
      </c>
      <c r="AU101" s="322">
        <f t="shared" si="230"/>
        <v>25.207508400126887</v>
      </c>
      <c r="AV101" s="322">
        <f t="shared" si="230"/>
        <v>-4.0902389555341756</v>
      </c>
      <c r="AW101" s="322">
        <f t="shared" si="230"/>
        <v>0.81745870097678086</v>
      </c>
      <c r="AX101" s="322">
        <f t="shared" si="231"/>
        <v>0.61062975164034583</v>
      </c>
      <c r="AZ101" s="322">
        <f t="shared" si="232"/>
        <v>-0.84572722178763993</v>
      </c>
      <c r="BA101" s="322">
        <f t="shared" si="233"/>
        <v>3.0297290234356344</v>
      </c>
      <c r="BB101" s="322">
        <f t="shared" si="234"/>
        <v>2.4849371864771985</v>
      </c>
      <c r="BD101" t="str">
        <f t="shared" si="259"/>
        <v>63 Community and civil enforcement occupations</v>
      </c>
      <c r="BE101" s="322">
        <f t="shared" si="235"/>
        <v>-7.602216749616753</v>
      </c>
      <c r="BF101" s="322">
        <f t="shared" si="235"/>
        <v>36.954107646326428</v>
      </c>
      <c r="BG101" s="322">
        <f t="shared" si="235"/>
        <v>-7.4788531322679823</v>
      </c>
      <c r="BH101" s="322">
        <f t="shared" si="235"/>
        <v>1.6711252079907757</v>
      </c>
      <c r="BI101" s="322">
        <f t="shared" si="236"/>
        <v>0.57378043720173189</v>
      </c>
      <c r="BK101" s="322">
        <f t="shared" si="237"/>
        <v>-1.4752316353463746</v>
      </c>
      <c r="BL101" s="322">
        <f t="shared" si="238"/>
        <v>1.6541441778442412</v>
      </c>
      <c r="BM101" s="322">
        <f t="shared" si="239"/>
        <v>0.50933553647565244</v>
      </c>
      <c r="BO101" t="str">
        <f t="shared" si="260"/>
        <v>63 Community and civil enforcement occupations</v>
      </c>
      <c r="BP101" s="322">
        <f t="shared" si="240"/>
        <v>-3.2025041673825916</v>
      </c>
      <c r="BQ101" s="322">
        <f t="shared" si="240"/>
        <v>14.549988032670269</v>
      </c>
      <c r="BR101" s="322">
        <f t="shared" si="240"/>
        <v>-4.9578510510441376</v>
      </c>
      <c r="BS101" s="322">
        <f t="shared" si="240"/>
        <v>0.55161014130002961</v>
      </c>
      <c r="BT101" s="322">
        <f t="shared" si="241"/>
        <v>-0.39545379713070705</v>
      </c>
      <c r="BV101" s="322">
        <f t="shared" si="242"/>
        <v>-1.3194786317136775</v>
      </c>
      <c r="BW101" s="322">
        <f t="shared" si="243"/>
        <v>2.1215948350209013</v>
      </c>
      <c r="BX101" s="322">
        <f t="shared" si="244"/>
        <v>1.1635503186838259</v>
      </c>
      <c r="BZ101" t="str">
        <f t="shared" si="261"/>
        <v>63 Community and civil enforcement occupations</v>
      </c>
      <c r="CA101" s="322">
        <f t="shared" si="245"/>
        <v>-5.301883591772838</v>
      </c>
      <c r="CB101" s="322">
        <f t="shared" si="245"/>
        <v>21.966194284415288</v>
      </c>
      <c r="CC101" s="322">
        <f t="shared" si="245"/>
        <v>-7.1534708697033604</v>
      </c>
      <c r="CD101" s="322">
        <f t="shared" si="245"/>
        <v>-1.9916391100324615</v>
      </c>
      <c r="CE101" s="322">
        <f t="shared" si="246"/>
        <v>-2.3086314380250661</v>
      </c>
      <c r="CG101" s="322">
        <f t="shared" si="247"/>
        <v>-3.7433724269263946</v>
      </c>
      <c r="CH101" s="322">
        <f t="shared" si="248"/>
        <v>1.635496106954859</v>
      </c>
      <c r="CI101" s="322">
        <f t="shared" si="249"/>
        <v>-1.1576935490648088</v>
      </c>
      <c r="CK101" t="str">
        <f t="shared" si="262"/>
        <v>63 Community and civil enforcement occupations</v>
      </c>
      <c r="CL101" s="322">
        <f t="shared" si="250"/>
        <v>-12.450893644166106</v>
      </c>
      <c r="CM101" s="322">
        <f t="shared" si="250"/>
        <v>43.488729865281897</v>
      </c>
      <c r="CN101" s="322">
        <f t="shared" si="250"/>
        <v>-20.056330501530471</v>
      </c>
      <c r="CO101" s="322">
        <f t="shared" si="250"/>
        <v>-5.8350849331507693</v>
      </c>
      <c r="CP101" s="322">
        <f t="shared" si="251"/>
        <v>-8.1452042037136412</v>
      </c>
      <c r="CR101" s="322">
        <f t="shared" si="252"/>
        <v>-10.836432006778395</v>
      </c>
      <c r="CS101" s="322">
        <f t="shared" si="253"/>
        <v>0.59166156170578077</v>
      </c>
      <c r="CT101" s="322">
        <f t="shared" si="254"/>
        <v>-8.324830333442069</v>
      </c>
    </row>
    <row r="102" spans="1:98">
      <c r="A102" t="str">
        <f t="shared" si="209"/>
        <v>71 Sales occupations</v>
      </c>
      <c r="B102" s="322">
        <f t="shared" si="210"/>
        <v>3.3088389775634441</v>
      </c>
      <c r="C102" s="322">
        <f t="shared" si="210"/>
        <v>-11.952145625103539</v>
      </c>
      <c r="D102" s="322">
        <f t="shared" si="210"/>
        <v>4.5766966806105147</v>
      </c>
      <c r="E102" s="322">
        <f t="shared" si="210"/>
        <v>3.9650029466865133</v>
      </c>
      <c r="F102" s="322">
        <f t="shared" si="211"/>
        <v>3.07962199540468</v>
      </c>
      <c r="H102" s="322">
        <f t="shared" si="212"/>
        <v>4.1685022719903486</v>
      </c>
      <c r="I102" s="322">
        <f t="shared" si="213"/>
        <v>3.2629252364551053</v>
      </c>
      <c r="J102" s="322">
        <f t="shared" si="214"/>
        <v>6.1960460284042007</v>
      </c>
      <c r="L102" t="str">
        <f t="shared" si="255"/>
        <v>71 Sales occupations</v>
      </c>
      <c r="M102" s="322">
        <f t="shared" si="215"/>
        <v>5.7061904548016074</v>
      </c>
      <c r="N102" s="322">
        <f t="shared" si="215"/>
        <v>-0.42392434909864773</v>
      </c>
      <c r="O102" s="322">
        <f t="shared" si="215"/>
        <v>6.6995656975446627</v>
      </c>
      <c r="P102" s="322">
        <f t="shared" si="215"/>
        <v>5.7564106751368138</v>
      </c>
      <c r="Q102" s="322">
        <f t="shared" si="216"/>
        <v>5.651874232238252</v>
      </c>
      <c r="S102" s="322">
        <f t="shared" si="217"/>
        <v>6.06986570467134</v>
      </c>
      <c r="T102" s="322">
        <f t="shared" si="218"/>
        <v>3.8100116387904226</v>
      </c>
      <c r="U102" s="322">
        <f t="shared" si="219"/>
        <v>8.00093622875211</v>
      </c>
      <c r="W102" t="str">
        <f t="shared" si="256"/>
        <v>71 Sales occupations</v>
      </c>
      <c r="X102" s="322">
        <f t="shared" si="220"/>
        <v>-2.4296107457599581</v>
      </c>
      <c r="Y102" s="322">
        <f t="shared" si="220"/>
        <v>14.913681010222589</v>
      </c>
      <c r="Z102" s="322">
        <f t="shared" si="220"/>
        <v>2.1213363744480684</v>
      </c>
      <c r="AA102" s="322">
        <f t="shared" si="220"/>
        <v>2.7074698715717105</v>
      </c>
      <c r="AB102" s="322">
        <f t="shared" si="221"/>
        <v>3.2460405790966318</v>
      </c>
      <c r="AD102" s="322">
        <f t="shared" si="222"/>
        <v>2.5117191940271955</v>
      </c>
      <c r="AE102" s="322">
        <f t="shared" si="223"/>
        <v>3.3918764687660419</v>
      </c>
      <c r="AF102" s="322">
        <f t="shared" si="224"/>
        <v>5.0708550374677808</v>
      </c>
      <c r="AH102" t="str">
        <f t="shared" si="257"/>
        <v>71 Sales occupations</v>
      </c>
      <c r="AI102" s="322">
        <f t="shared" si="225"/>
        <v>-3.058590584865839</v>
      </c>
      <c r="AJ102" s="322">
        <f t="shared" si="225"/>
        <v>18.669934119398455</v>
      </c>
      <c r="AK102" s="322">
        <f t="shared" si="225"/>
        <v>0.41894637927140099</v>
      </c>
      <c r="AL102" s="322">
        <f t="shared" si="225"/>
        <v>2.1649480305301561</v>
      </c>
      <c r="AM102" s="322">
        <f t="shared" si="226"/>
        <v>2.5716606105950612</v>
      </c>
      <c r="AO102" s="322">
        <f t="shared" si="227"/>
        <v>1.579600170088713</v>
      </c>
      <c r="AP102" s="322">
        <f t="shared" si="228"/>
        <v>3.1419812649255752</v>
      </c>
      <c r="AQ102" s="322">
        <f t="shared" si="229"/>
        <v>4.2071744913613429</v>
      </c>
      <c r="AS102" t="str">
        <f t="shared" si="258"/>
        <v>71 Sales occupations</v>
      </c>
      <c r="AT102" s="322">
        <f t="shared" si="230"/>
        <v>-3.6475802792724443</v>
      </c>
      <c r="AU102" s="322">
        <f t="shared" si="230"/>
        <v>12.821686615588245</v>
      </c>
      <c r="AV102" s="322">
        <f t="shared" si="230"/>
        <v>-0.44707762904109272</v>
      </c>
      <c r="AW102" s="322">
        <f t="shared" si="230"/>
        <v>1.9042128263766722</v>
      </c>
      <c r="AX102" s="322">
        <f t="shared" si="231"/>
        <v>1.8090775458659669</v>
      </c>
      <c r="AZ102" s="322">
        <f t="shared" si="232"/>
        <v>1.114342795779244</v>
      </c>
      <c r="BA102" s="322">
        <f t="shared" si="233"/>
        <v>2.6958418364718684</v>
      </c>
      <c r="BB102" s="322">
        <f t="shared" si="234"/>
        <v>3.4829216561736098</v>
      </c>
      <c r="BD102" t="str">
        <f t="shared" si="259"/>
        <v>71 Sales occupations</v>
      </c>
      <c r="BE102" s="322">
        <f t="shared" si="235"/>
        <v>-0.61493267909383809</v>
      </c>
      <c r="BF102" s="322">
        <f t="shared" si="235"/>
        <v>0.57828483955733034</v>
      </c>
      <c r="BG102" s="322">
        <f t="shared" si="235"/>
        <v>0.63414983133367464</v>
      </c>
      <c r="BH102" s="322">
        <f t="shared" si="235"/>
        <v>4.5528952352658081E-2</v>
      </c>
      <c r="BI102" s="322">
        <f t="shared" si="236"/>
        <v>0.26237754088134224</v>
      </c>
      <c r="BK102" s="322">
        <f t="shared" si="237"/>
        <v>0.24135236834106344</v>
      </c>
      <c r="BL102" s="322">
        <f t="shared" si="238"/>
        <v>2.5224510403924594</v>
      </c>
      <c r="BM102" s="322">
        <f t="shared" si="239"/>
        <v>2.6936317429011147</v>
      </c>
      <c r="BO102" t="str">
        <f t="shared" si="260"/>
        <v>71 Sales occupations</v>
      </c>
      <c r="BP102" s="322">
        <f t="shared" si="240"/>
        <v>-2.3876125775937229</v>
      </c>
      <c r="BQ102" s="322">
        <f t="shared" si="240"/>
        <v>-11.881007858555181</v>
      </c>
      <c r="BR102" s="322">
        <f t="shared" si="240"/>
        <v>0.28302185183670669</v>
      </c>
      <c r="BS102" s="322">
        <f t="shared" si="240"/>
        <v>-1.9397625046800759</v>
      </c>
      <c r="BT102" s="322">
        <f t="shared" si="241"/>
        <v>-1.9080203534460494</v>
      </c>
      <c r="BV102" s="322">
        <f t="shared" si="242"/>
        <v>-1.2043632727542941</v>
      </c>
      <c r="BW102" s="322">
        <f t="shared" si="243"/>
        <v>2.5277166631296311</v>
      </c>
      <c r="BX102" s="322">
        <f t="shared" si="244"/>
        <v>1.7015463151122123</v>
      </c>
      <c r="BZ102" t="str">
        <f t="shared" si="261"/>
        <v>71 Sales occupations</v>
      </c>
      <c r="CA102" s="322">
        <f t="shared" si="245"/>
        <v>-3.7406744325157559</v>
      </c>
      <c r="CB102" s="322">
        <f t="shared" si="245"/>
        <v>-8.4432615595464888</v>
      </c>
      <c r="CC102" s="322">
        <f t="shared" si="245"/>
        <v>-4.2464301083677274</v>
      </c>
      <c r="CD102" s="322">
        <f t="shared" si="245"/>
        <v>-8.3682299574268768</v>
      </c>
      <c r="CE102" s="322">
        <f t="shared" si="246"/>
        <v>-7.1043513683068715</v>
      </c>
      <c r="CG102" s="322">
        <f t="shared" si="247"/>
        <v>-7.0143976564409289</v>
      </c>
      <c r="CH102" s="322">
        <f t="shared" si="248"/>
        <v>1.4793349150363566</v>
      </c>
      <c r="CI102" s="322">
        <f t="shared" si="249"/>
        <v>-3.5404865269396901</v>
      </c>
      <c r="CK102" t="str">
        <f t="shared" si="262"/>
        <v>71 Sales occupations</v>
      </c>
      <c r="CL102" s="322">
        <f t="shared" si="250"/>
        <v>-8.0761480440840412</v>
      </c>
      <c r="CM102" s="322">
        <f t="shared" si="250"/>
        <v>2.9540764749474535</v>
      </c>
      <c r="CN102" s="322">
        <f t="shared" si="250"/>
        <v>-11.159160709800842</v>
      </c>
      <c r="CO102" s="322">
        <f t="shared" si="250"/>
        <v>-6.6251544439357772</v>
      </c>
      <c r="CP102" s="322">
        <f t="shared" si="251"/>
        <v>-7.5034869394898234</v>
      </c>
      <c r="CR102" s="322">
        <f t="shared" si="252"/>
        <v>-8.1616339003239169</v>
      </c>
      <c r="CS102" s="322">
        <f t="shared" si="253"/>
        <v>0.8615990437559562</v>
      </c>
      <c r="CT102" s="322">
        <f t="shared" si="254"/>
        <v>-5.6767845785161359</v>
      </c>
    </row>
    <row r="103" spans="1:98">
      <c r="A103" t="str">
        <f t="shared" si="209"/>
        <v>72 Customer service occupations</v>
      </c>
      <c r="B103" s="322">
        <f t="shared" si="210"/>
        <v>4.8623349941621541</v>
      </c>
      <c r="C103" s="322">
        <f t="shared" si="210"/>
        <v>5.8795149365343802</v>
      </c>
      <c r="D103" s="322">
        <f t="shared" si="210"/>
        <v>10.242990769756076</v>
      </c>
      <c r="E103" s="322">
        <f t="shared" si="210"/>
        <v>5.9856528499349304</v>
      </c>
      <c r="F103" s="322">
        <f t="shared" si="211"/>
        <v>7.2913856935689081</v>
      </c>
      <c r="H103" s="322">
        <f t="shared" si="212"/>
        <v>7.3861770509565217</v>
      </c>
      <c r="I103" s="322">
        <f t="shared" si="213"/>
        <v>4.1326537530648855</v>
      </c>
      <c r="J103" s="322">
        <f t="shared" si="214"/>
        <v>9.2075952007720119</v>
      </c>
      <c r="L103" t="str">
        <f t="shared" si="255"/>
        <v>72 Customer service occupations</v>
      </c>
      <c r="M103" s="322">
        <f t="shared" si="215"/>
        <v>8.3204044928666612</v>
      </c>
      <c r="N103" s="322">
        <f t="shared" si="215"/>
        <v>6.0713524346574843</v>
      </c>
      <c r="O103" s="322">
        <f t="shared" si="215"/>
        <v>7.7109452009438639</v>
      </c>
      <c r="P103" s="322">
        <f t="shared" si="215"/>
        <v>5.5738758414334511</v>
      </c>
      <c r="Q103" s="322">
        <f t="shared" si="216"/>
        <v>6.2683339281873529</v>
      </c>
      <c r="S103" s="322">
        <f t="shared" si="217"/>
        <v>6.281479026741299</v>
      </c>
      <c r="T103" s="322">
        <f t="shared" si="218"/>
        <v>3.9512917400458702</v>
      </c>
      <c r="U103" s="322">
        <f t="shared" si="219"/>
        <v>8.245667532505351</v>
      </c>
      <c r="W103" t="str">
        <f t="shared" si="256"/>
        <v>72 Customer service occupations</v>
      </c>
      <c r="X103" s="322">
        <f t="shared" si="220"/>
        <v>-1.5094062756384363</v>
      </c>
      <c r="Y103" s="322">
        <f t="shared" si="220"/>
        <v>19.479682850954696</v>
      </c>
      <c r="Z103" s="322">
        <f t="shared" si="220"/>
        <v>3.3095975075293715</v>
      </c>
      <c r="AA103" s="322">
        <f t="shared" si="220"/>
        <v>2.6554729889258111</v>
      </c>
      <c r="AB103" s="322">
        <f t="shared" si="221"/>
        <v>3.8397552389964229</v>
      </c>
      <c r="AD103" s="322">
        <f t="shared" si="222"/>
        <v>2.8730530047782921</v>
      </c>
      <c r="AE103" s="322">
        <f t="shared" si="223"/>
        <v>3.4738987491299778</v>
      </c>
      <c r="AF103" s="322">
        <f t="shared" si="224"/>
        <v>5.3919805669566667</v>
      </c>
      <c r="AH103" t="str">
        <f t="shared" si="257"/>
        <v>72 Customer service occupations</v>
      </c>
      <c r="AI103" s="322">
        <f t="shared" si="225"/>
        <v>6.0071799543814919E-3</v>
      </c>
      <c r="AJ103" s="322">
        <f t="shared" si="225"/>
        <v>26.379475801840101</v>
      </c>
      <c r="AK103" s="322">
        <f t="shared" si="225"/>
        <v>3.6751522288914318</v>
      </c>
      <c r="AL103" s="322">
        <f t="shared" si="225"/>
        <v>3.1912292876945081</v>
      </c>
      <c r="AM103" s="322">
        <f t="shared" si="226"/>
        <v>4.6597911372391554</v>
      </c>
      <c r="AO103" s="322">
        <f t="shared" si="227"/>
        <v>3.3522854349225861</v>
      </c>
      <c r="AP103" s="322">
        <f t="shared" si="228"/>
        <v>3.5809423700077225</v>
      </c>
      <c r="AQ103" s="322">
        <f t="shared" si="229"/>
        <v>5.8161188914017004</v>
      </c>
      <c r="AS103" t="str">
        <f t="shared" si="258"/>
        <v>72 Customer service occupations</v>
      </c>
      <c r="AT103" s="322">
        <f t="shared" si="230"/>
        <v>-4.2260802406838938</v>
      </c>
      <c r="AU103" s="322">
        <f t="shared" si="230"/>
        <v>10.873546471931173</v>
      </c>
      <c r="AV103" s="322">
        <f t="shared" si="230"/>
        <v>3.7338862718985011</v>
      </c>
      <c r="AW103" s="322">
        <f t="shared" si="230"/>
        <v>1.5804586128609355</v>
      </c>
      <c r="AX103" s="322">
        <f t="shared" si="231"/>
        <v>2.8095136434707735</v>
      </c>
      <c r="AZ103" s="322">
        <f t="shared" si="232"/>
        <v>2.2932544052316262</v>
      </c>
      <c r="BA103" s="322">
        <f t="shared" si="233"/>
        <v>3.0701079960477884</v>
      </c>
      <c r="BB103" s="322">
        <f t="shared" si="234"/>
        <v>4.6558905195107858</v>
      </c>
      <c r="BD103" t="str">
        <f t="shared" si="259"/>
        <v>72 Customer service occupations</v>
      </c>
      <c r="BE103" s="322">
        <f t="shared" si="235"/>
        <v>0.35654622656273727</v>
      </c>
      <c r="BF103" s="322">
        <f t="shared" si="235"/>
        <v>0.92148442383159779</v>
      </c>
      <c r="BG103" s="322">
        <f t="shared" si="235"/>
        <v>2.6165121421970916</v>
      </c>
      <c r="BH103" s="322">
        <f t="shared" si="235"/>
        <v>0.91087795723703291</v>
      </c>
      <c r="BI103" s="322">
        <f t="shared" si="236"/>
        <v>1.4414872110910748</v>
      </c>
      <c r="BK103" s="322">
        <f t="shared" si="237"/>
        <v>1.4762491766394437</v>
      </c>
      <c r="BL103" s="322">
        <f t="shared" si="238"/>
        <v>2.6520370882296529</v>
      </c>
      <c r="BM103" s="322">
        <f t="shared" si="239"/>
        <v>3.7085635933505001</v>
      </c>
      <c r="BO103" t="str">
        <f t="shared" si="260"/>
        <v>72 Customer service occupations</v>
      </c>
      <c r="BP103" s="322">
        <f t="shared" si="240"/>
        <v>0.47201169459398784</v>
      </c>
      <c r="BQ103" s="322">
        <f t="shared" si="240"/>
        <v>-11.179860741176494</v>
      </c>
      <c r="BR103" s="322">
        <f t="shared" si="240"/>
        <v>2.4050664392609278</v>
      </c>
      <c r="BS103" s="322">
        <f t="shared" si="240"/>
        <v>-0.57660294593675498</v>
      </c>
      <c r="BT103" s="322">
        <f t="shared" si="241"/>
        <v>-0.35906586381637684</v>
      </c>
      <c r="BV103" s="322">
        <f t="shared" si="242"/>
        <v>0.40751368697564683</v>
      </c>
      <c r="BW103" s="322">
        <f t="shared" si="243"/>
        <v>2.8565589073935804</v>
      </c>
      <c r="BX103" s="322">
        <f t="shared" si="244"/>
        <v>3.1339596046033646</v>
      </c>
      <c r="BZ103" t="str">
        <f t="shared" si="261"/>
        <v>72 Customer service occupations</v>
      </c>
      <c r="CA103" s="322">
        <f t="shared" si="245"/>
        <v>-4.3453014908087955</v>
      </c>
      <c r="CB103" s="322">
        <f t="shared" si="245"/>
        <v>-1.8645470514678353</v>
      </c>
      <c r="CC103" s="322">
        <f t="shared" si="245"/>
        <v>-1.6644210228269896</v>
      </c>
      <c r="CD103" s="322">
        <f t="shared" si="245"/>
        <v>-1.9968077576547394</v>
      </c>
      <c r="CE103" s="322">
        <f t="shared" si="246"/>
        <v>-1.8847879564381831</v>
      </c>
      <c r="CG103" s="322">
        <f t="shared" si="247"/>
        <v>-1.8861372016566125</v>
      </c>
      <c r="CH103" s="322">
        <f t="shared" si="248"/>
        <v>1.73309660038794</v>
      </c>
      <c r="CI103" s="322">
        <f t="shared" si="249"/>
        <v>0.29736402282234398</v>
      </c>
      <c r="CK103" t="str">
        <f t="shared" si="262"/>
        <v>72 Customer service occupations</v>
      </c>
      <c r="CL103" s="322">
        <f t="shared" si="250"/>
        <v>-0.35876114520349001</v>
      </c>
      <c r="CM103" s="322">
        <f t="shared" si="250"/>
        <v>19.5173037834548</v>
      </c>
      <c r="CN103" s="322">
        <f t="shared" si="250"/>
        <v>-3.2555971693087105</v>
      </c>
      <c r="CO103" s="322">
        <f t="shared" si="250"/>
        <v>-1.5476438161253214</v>
      </c>
      <c r="CP103" s="322">
        <f t="shared" si="251"/>
        <v>-0.89083363875895882</v>
      </c>
      <c r="CR103" s="322">
        <f t="shared" si="252"/>
        <v>-2.1202858801279811</v>
      </c>
      <c r="CS103" s="322">
        <f t="shared" si="253"/>
        <v>1.6360141941726747</v>
      </c>
      <c r="CT103" s="322">
        <f t="shared" si="254"/>
        <v>4.5788857149897666E-3</v>
      </c>
    </row>
    <row r="104" spans="1:98">
      <c r="A104" t="str">
        <f t="shared" si="209"/>
        <v>81 Process, plant and machine operatives</v>
      </c>
      <c r="B104" s="322">
        <f t="shared" si="210"/>
        <v>8.3589251040977697</v>
      </c>
      <c r="C104" s="322">
        <f t="shared" si="210"/>
        <v>-12.098578148907047</v>
      </c>
      <c r="D104" s="322">
        <f t="shared" si="210"/>
        <v>9.2826613440264882</v>
      </c>
      <c r="E104" s="322">
        <f t="shared" si="210"/>
        <v>8.2394254242664324</v>
      </c>
      <c r="F104" s="322">
        <f t="shared" si="211"/>
        <v>7.1612910536652308</v>
      </c>
      <c r="H104" s="322">
        <f t="shared" si="212"/>
        <v>8.5860594590754467</v>
      </c>
      <c r="I104" s="322">
        <f t="shared" si="213"/>
        <v>5.2010458129306381</v>
      </c>
      <c r="J104" s="322">
        <f t="shared" si="214"/>
        <v>10.676857196852518</v>
      </c>
      <c r="L104" t="str">
        <f t="shared" si="255"/>
        <v>81 Process, plant and machine operatives</v>
      </c>
      <c r="M104" s="322">
        <f t="shared" si="215"/>
        <v>8.4443019907312298</v>
      </c>
      <c r="N104" s="322">
        <f t="shared" si="215"/>
        <v>-16.160872552450645</v>
      </c>
      <c r="O104" s="322">
        <f t="shared" si="215"/>
        <v>10.908966555456345</v>
      </c>
      <c r="P104" s="322">
        <f t="shared" si="215"/>
        <v>6.4442479938987107</v>
      </c>
      <c r="Q104" s="322">
        <f t="shared" si="216"/>
        <v>6.2230767230188944</v>
      </c>
      <c r="S104" s="322">
        <f t="shared" si="217"/>
        <v>7.9121515565085732</v>
      </c>
      <c r="T104" s="322">
        <f t="shared" si="218"/>
        <v>4.6283575266395482</v>
      </c>
      <c r="U104" s="322">
        <f t="shared" si="219"/>
        <v>9.8720084512417206</v>
      </c>
      <c r="W104" t="str">
        <f t="shared" si="256"/>
        <v>81 Process, plant and machine operatives</v>
      </c>
      <c r="X104" s="322">
        <f t="shared" si="220"/>
        <v>-0.70785392626534493</v>
      </c>
      <c r="Y104" s="322">
        <f t="shared" si="220"/>
        <v>-4.4516636810227217</v>
      </c>
      <c r="Z104" s="322">
        <f t="shared" si="220"/>
        <v>8.3975842185535434</v>
      </c>
      <c r="AA104" s="322">
        <f t="shared" si="220"/>
        <v>5.23695576672214</v>
      </c>
      <c r="AB104" s="322">
        <f t="shared" si="221"/>
        <v>5.5754021905544571</v>
      </c>
      <c r="AD104" s="322">
        <f t="shared" si="222"/>
        <v>6.280123944627336</v>
      </c>
      <c r="AE104" s="322">
        <f t="shared" si="223"/>
        <v>4.6432293552423065</v>
      </c>
      <c r="AF104" s="322">
        <f t="shared" si="224"/>
        <v>8.6455316147126204</v>
      </c>
      <c r="AH104" t="str">
        <f t="shared" si="257"/>
        <v>81 Process, plant and machine operatives</v>
      </c>
      <c r="AI104" s="322">
        <f t="shared" si="225"/>
        <v>-0.80801083973008891</v>
      </c>
      <c r="AJ104" s="322">
        <f t="shared" si="225"/>
        <v>-4.7885128192126096</v>
      </c>
      <c r="AK104" s="322">
        <f t="shared" si="225"/>
        <v>4.6974601155347351</v>
      </c>
      <c r="AL104" s="322">
        <f t="shared" si="225"/>
        <v>2.3812825173441521</v>
      </c>
      <c r="AM104" s="322">
        <f t="shared" si="226"/>
        <v>2.6327541768282892</v>
      </c>
      <c r="AO104" s="322">
        <f t="shared" si="227"/>
        <v>3.1475916924450731</v>
      </c>
      <c r="AP104" s="322">
        <f t="shared" si="228"/>
        <v>3.298802084137753</v>
      </c>
      <c r="AQ104" s="322">
        <f t="shared" si="229"/>
        <v>5.4572598146169993</v>
      </c>
      <c r="AS104" t="str">
        <f t="shared" si="258"/>
        <v>81 Process, plant and machine operatives</v>
      </c>
      <c r="AT104" s="322">
        <f t="shared" si="230"/>
        <v>-2.9626663574826684</v>
      </c>
      <c r="AU104" s="322">
        <f t="shared" si="230"/>
        <v>-8.4634113674135758</v>
      </c>
      <c r="AV104" s="322">
        <f t="shared" si="230"/>
        <v>4.2462527126940541</v>
      </c>
      <c r="AW104" s="322">
        <f t="shared" si="230"/>
        <v>2.5142278386013128</v>
      </c>
      <c r="AX104" s="322">
        <f t="shared" si="231"/>
        <v>2.3254473881796356</v>
      </c>
      <c r="AZ104" s="322">
        <f t="shared" si="232"/>
        <v>3.0883481595522122</v>
      </c>
      <c r="BA104" s="322">
        <f t="shared" si="233"/>
        <v>3.3432636277670236</v>
      </c>
      <c r="BB104" s="322">
        <f t="shared" si="234"/>
        <v>5.4473622151081313</v>
      </c>
      <c r="BD104" t="str">
        <f t="shared" si="259"/>
        <v>81 Process, plant and machine operatives</v>
      </c>
      <c r="BE104" s="322">
        <f t="shared" si="235"/>
        <v>2.1716432279230702</v>
      </c>
      <c r="BF104" s="322">
        <f t="shared" si="235"/>
        <v>-14.66720905156328</v>
      </c>
      <c r="BG104" s="322">
        <f t="shared" si="235"/>
        <v>3.8294004247973801</v>
      </c>
      <c r="BH104" s="322">
        <f t="shared" si="235"/>
        <v>0.85033336263431458</v>
      </c>
      <c r="BI104" s="322">
        <f t="shared" si="236"/>
        <v>0.71477605188245974</v>
      </c>
      <c r="BK104" s="322">
        <f t="shared" si="237"/>
        <v>1.8337352951021568</v>
      </c>
      <c r="BL104" s="322">
        <f t="shared" si="238"/>
        <v>2.5319657654104377</v>
      </c>
      <c r="BM104" s="322">
        <f t="shared" si="239"/>
        <v>3.8737291557384923</v>
      </c>
      <c r="BO104" t="str">
        <f t="shared" si="260"/>
        <v>81 Process, plant and machine operatives</v>
      </c>
      <c r="BP104" s="322">
        <f t="shared" si="240"/>
        <v>1.0836440045884466</v>
      </c>
      <c r="BQ104" s="322">
        <f t="shared" si="240"/>
        <v>-19.806626159743047</v>
      </c>
      <c r="BR104" s="322">
        <f t="shared" si="240"/>
        <v>3.6000471446644644</v>
      </c>
      <c r="BS104" s="322">
        <f t="shared" si="240"/>
        <v>-0.82001328607549384</v>
      </c>
      <c r="BT104" s="322">
        <f t="shared" si="241"/>
        <v>-0.78583783065288015</v>
      </c>
      <c r="BV104" s="322">
        <f t="shared" si="242"/>
        <v>0.63197931956966436</v>
      </c>
      <c r="BW104" s="322">
        <f t="shared" si="243"/>
        <v>2.6534486984857386</v>
      </c>
      <c r="BX104" s="322">
        <f t="shared" si="244"/>
        <v>3.0976542339523627</v>
      </c>
      <c r="BZ104" t="str">
        <f t="shared" si="261"/>
        <v>81 Process, plant and machine operatives</v>
      </c>
      <c r="CA104" s="322">
        <f t="shared" si="245"/>
        <v>-2.6672582611469875</v>
      </c>
      <c r="CB104" s="322">
        <f t="shared" si="245"/>
        <v>-14.531252025874529</v>
      </c>
      <c r="CC104" s="322">
        <f t="shared" si="245"/>
        <v>-1.6926002217751202</v>
      </c>
      <c r="CD104" s="322">
        <f t="shared" si="245"/>
        <v>-7.3853829701844624</v>
      </c>
      <c r="CE104" s="322">
        <f t="shared" si="246"/>
        <v>-6.1150760607641796</v>
      </c>
      <c r="CG104" s="322">
        <f t="shared" si="247"/>
        <v>-5.5253931697850085</v>
      </c>
      <c r="CH104" s="322">
        <f t="shared" si="248"/>
        <v>1.6742125216935522</v>
      </c>
      <c r="CI104" s="322">
        <f t="shared" si="249"/>
        <v>-2.2654745915609675</v>
      </c>
      <c r="CK104" t="str">
        <f t="shared" si="262"/>
        <v>81 Process, plant and machine operatives</v>
      </c>
      <c r="CL104" s="322">
        <f t="shared" si="250"/>
        <v>-9.2429524999311461</v>
      </c>
      <c r="CM104" s="322">
        <f t="shared" si="250"/>
        <v>-13.157766567801833</v>
      </c>
      <c r="CN104" s="322">
        <f t="shared" si="250"/>
        <v>-19.571145637460507</v>
      </c>
      <c r="CO104" s="322">
        <f t="shared" si="250"/>
        <v>-10.215753648990933</v>
      </c>
      <c r="CP104" s="322">
        <f t="shared" si="251"/>
        <v>-13.431082227560442</v>
      </c>
      <c r="CR104" s="322">
        <f t="shared" si="252"/>
        <v>-13.449272656760725</v>
      </c>
      <c r="CS104" s="322">
        <f t="shared" si="253"/>
        <v>0.55013600732445322</v>
      </c>
      <c r="CT104" s="322">
        <f t="shared" si="254"/>
        <v>-10.163763161095318</v>
      </c>
    </row>
    <row r="105" spans="1:98">
      <c r="A105" t="str">
        <f t="shared" si="209"/>
        <v>82 Transport and mobile machine drivers and operatives</v>
      </c>
      <c r="B105" s="322">
        <f t="shared" si="210"/>
        <v>12.135787693616429</v>
      </c>
      <c r="C105" s="322">
        <f t="shared" si="210"/>
        <v>-25.672634977494436</v>
      </c>
      <c r="D105" s="322">
        <f t="shared" si="210"/>
        <v>10.418086276394089</v>
      </c>
      <c r="E105" s="322">
        <f t="shared" si="210"/>
        <v>6.3590826868395345</v>
      </c>
      <c r="F105" s="322">
        <f t="shared" si="211"/>
        <v>5.2279180491259458</v>
      </c>
      <c r="H105" s="322">
        <f t="shared" si="212"/>
        <v>7.6952281473081641</v>
      </c>
      <c r="I105" s="322">
        <f t="shared" si="213"/>
        <v>5.397307270781404</v>
      </c>
      <c r="J105" s="322">
        <f t="shared" si="214"/>
        <v>10.110463038383477</v>
      </c>
      <c r="L105" t="str">
        <f t="shared" si="255"/>
        <v>82 Transport and mobile machine drivers and operatives</v>
      </c>
      <c r="M105" s="322">
        <f t="shared" si="215"/>
        <v>8.4117767036067548</v>
      </c>
      <c r="N105" s="322">
        <f t="shared" si="215"/>
        <v>-21.063576958293872</v>
      </c>
      <c r="O105" s="322">
        <f t="shared" si="215"/>
        <v>8.9819509620738813</v>
      </c>
      <c r="P105" s="322">
        <f t="shared" si="215"/>
        <v>5.8362360096639199</v>
      </c>
      <c r="Q105" s="322">
        <f t="shared" si="216"/>
        <v>4.8696062000267659</v>
      </c>
      <c r="S105" s="322">
        <f t="shared" si="217"/>
        <v>6.8745871621351373</v>
      </c>
      <c r="T105" s="322">
        <f t="shared" si="218"/>
        <v>5.0131741988477918</v>
      </c>
      <c r="U105" s="322">
        <f t="shared" si="219"/>
        <v>9.2961065774806997</v>
      </c>
      <c r="W105" t="str">
        <f t="shared" si="256"/>
        <v>82 Transport and mobile machine drivers and operatives</v>
      </c>
      <c r="X105" s="322">
        <f t="shared" si="220"/>
        <v>2.7275955619565861</v>
      </c>
      <c r="Y105" s="322">
        <f t="shared" si="220"/>
        <v>-1.7333391725183223</v>
      </c>
      <c r="Z105" s="322">
        <f t="shared" si="220"/>
        <v>5.4357447143782878</v>
      </c>
      <c r="AA105" s="322">
        <f t="shared" si="220"/>
        <v>3.65536603429093</v>
      </c>
      <c r="AB105" s="322">
        <f t="shared" si="221"/>
        <v>3.8613504661985987</v>
      </c>
      <c r="AD105" s="322">
        <f t="shared" si="222"/>
        <v>4.2454599070245846</v>
      </c>
      <c r="AE105" s="322">
        <f t="shared" si="223"/>
        <v>4.5537860827944199</v>
      </c>
      <c r="AF105" s="322">
        <f t="shared" si="224"/>
        <v>7.1460000529522727</v>
      </c>
      <c r="AH105" t="str">
        <f t="shared" si="257"/>
        <v>82 Transport and mobile machine drivers and operatives</v>
      </c>
      <c r="AI105" s="322">
        <f t="shared" si="225"/>
        <v>1.6442321368616675</v>
      </c>
      <c r="AJ105" s="322">
        <f t="shared" si="225"/>
        <v>-7.1742569845591575</v>
      </c>
      <c r="AK105" s="322">
        <f t="shared" si="225"/>
        <v>4.4054017583347038</v>
      </c>
      <c r="AL105" s="322">
        <f t="shared" si="225"/>
        <v>2.5050617683434862</v>
      </c>
      <c r="AM105" s="322">
        <f t="shared" si="226"/>
        <v>2.4580355303938317</v>
      </c>
      <c r="AO105" s="322">
        <f t="shared" si="227"/>
        <v>3.1346337706187555</v>
      </c>
      <c r="AP105" s="322">
        <f t="shared" si="228"/>
        <v>4.1290974199986952</v>
      </c>
      <c r="AQ105" s="322">
        <f t="shared" si="229"/>
        <v>6.0792186389218017</v>
      </c>
      <c r="AS105" t="str">
        <f t="shared" si="258"/>
        <v>82 Transport and mobile machine drivers and operatives</v>
      </c>
      <c r="AT105" s="322">
        <f t="shared" si="230"/>
        <v>-0.24946284383343675</v>
      </c>
      <c r="AU105" s="322">
        <f t="shared" si="230"/>
        <v>-5.1574160291974147</v>
      </c>
      <c r="AV105" s="322">
        <f t="shared" si="230"/>
        <v>3.2327648879441284</v>
      </c>
      <c r="AW105" s="322">
        <f t="shared" si="230"/>
        <v>2.0981086252726877</v>
      </c>
      <c r="AX105" s="322">
        <f t="shared" si="231"/>
        <v>1.9804112256043727</v>
      </c>
      <c r="AZ105" s="322">
        <f t="shared" si="232"/>
        <v>2.4749348687410411</v>
      </c>
      <c r="BA105" s="322">
        <f t="shared" si="233"/>
        <v>3.9953877276825311</v>
      </c>
      <c r="BB105" s="322">
        <f t="shared" si="234"/>
        <v>5.5322675959900369</v>
      </c>
      <c r="BD105" t="str">
        <f t="shared" si="259"/>
        <v>82 Transport and mobile machine drivers and operatives</v>
      </c>
      <c r="BE105" s="322">
        <f t="shared" si="235"/>
        <v>3.2469499870446006</v>
      </c>
      <c r="BF105" s="322">
        <f t="shared" si="235"/>
        <v>-8.8041793536969504</v>
      </c>
      <c r="BG105" s="322">
        <f t="shared" si="235"/>
        <v>3.5845721565606503</v>
      </c>
      <c r="BH105" s="322">
        <f t="shared" si="235"/>
        <v>1.6434873302422437</v>
      </c>
      <c r="BI105" s="322">
        <f t="shared" si="236"/>
        <v>1.5553642203507634</v>
      </c>
      <c r="BK105" s="322">
        <f t="shared" si="237"/>
        <v>2.2864399902930765</v>
      </c>
      <c r="BL105" s="322">
        <f t="shared" si="238"/>
        <v>3.3213598331597982</v>
      </c>
      <c r="BM105" s="322">
        <f t="shared" si="239"/>
        <v>4.8546742724209224</v>
      </c>
      <c r="BO105" t="str">
        <f t="shared" si="260"/>
        <v>82 Transport and mobile machine drivers and operatives</v>
      </c>
      <c r="BP105" s="322">
        <f t="shared" si="240"/>
        <v>2.7218438773652931</v>
      </c>
      <c r="BQ105" s="322">
        <f t="shared" si="240"/>
        <v>-16.962829730082618</v>
      </c>
      <c r="BR105" s="322">
        <f t="shared" si="240"/>
        <v>3.798601048885164</v>
      </c>
      <c r="BS105" s="322">
        <f t="shared" si="240"/>
        <v>0.44819582634409993</v>
      </c>
      <c r="BT105" s="322">
        <f t="shared" si="241"/>
        <v>0.2832073673634472</v>
      </c>
      <c r="BV105" s="322">
        <f t="shared" si="242"/>
        <v>1.552805850541783</v>
      </c>
      <c r="BW105" s="322">
        <f t="shared" si="243"/>
        <v>3.5404175693712236</v>
      </c>
      <c r="BX105" s="322">
        <f t="shared" si="244"/>
        <v>4.5356647550875984</v>
      </c>
      <c r="BZ105" t="str">
        <f t="shared" si="261"/>
        <v>82 Transport and mobile machine drivers and operatives</v>
      </c>
      <c r="CA105" s="322">
        <f t="shared" si="245"/>
        <v>-2.7967551155079096</v>
      </c>
      <c r="CB105" s="322">
        <f t="shared" si="245"/>
        <v>-10.128256812867775</v>
      </c>
      <c r="CC105" s="322">
        <f t="shared" si="245"/>
        <v>-2.2430096720493564</v>
      </c>
      <c r="CD105" s="322">
        <f t="shared" si="245"/>
        <v>-2.8749179590791152</v>
      </c>
      <c r="CE105" s="322">
        <f t="shared" si="246"/>
        <v>-3.1488534254766831</v>
      </c>
      <c r="CG105" s="322">
        <f t="shared" si="247"/>
        <v>-2.664737027906694</v>
      </c>
      <c r="CH105" s="322">
        <f t="shared" si="248"/>
        <v>2.1943510992143311</v>
      </c>
      <c r="CI105" s="322">
        <f t="shared" si="249"/>
        <v>0.336874149853017</v>
      </c>
      <c r="CK105" t="str">
        <f t="shared" si="262"/>
        <v>82 Transport and mobile machine drivers and operatives</v>
      </c>
      <c r="CL105" s="322">
        <f t="shared" si="250"/>
        <v>-0.86461969449898035</v>
      </c>
      <c r="CM105" s="322">
        <f t="shared" si="250"/>
        <v>-8.9132020058641519</v>
      </c>
      <c r="CN105" s="322">
        <f t="shared" si="250"/>
        <v>-9.7004137888887616</v>
      </c>
      <c r="CO105" s="322">
        <f t="shared" si="250"/>
        <v>-8.5486488218758474</v>
      </c>
      <c r="CP105" s="322">
        <f t="shared" si="251"/>
        <v>-8.9328817582841609</v>
      </c>
      <c r="CR105" s="322">
        <f t="shared" si="252"/>
        <v>-8.9341935905897341</v>
      </c>
      <c r="CS105" s="322">
        <f t="shared" si="253"/>
        <v>1.2917147832390397</v>
      </c>
      <c r="CT105" s="322">
        <f t="shared" si="254"/>
        <v>-5.0733564561830651</v>
      </c>
    </row>
    <row r="106" spans="1:98">
      <c r="A106" t="str">
        <f t="shared" si="209"/>
        <v>91 Elementary trades and related occupations</v>
      </c>
      <c r="B106" s="322">
        <f t="shared" si="210"/>
        <v>-0.83290023540670832</v>
      </c>
      <c r="C106" s="322">
        <f t="shared" si="210"/>
        <v>-20.740437569181459</v>
      </c>
      <c r="D106" s="322">
        <f t="shared" si="210"/>
        <v>41.170827180642974</v>
      </c>
      <c r="E106" s="322">
        <f t="shared" si="210"/>
        <v>10.515386429552231</v>
      </c>
      <c r="F106" s="322">
        <f t="shared" si="211"/>
        <v>16.849066136583946</v>
      </c>
      <c r="H106" s="322">
        <f t="shared" si="212"/>
        <v>19.912231270506453</v>
      </c>
      <c r="I106" s="322">
        <f t="shared" si="213"/>
        <v>13.448154627105202</v>
      </c>
      <c r="J106" s="322">
        <f t="shared" si="214"/>
        <v>22.454870494378419</v>
      </c>
      <c r="L106" t="str">
        <f t="shared" si="255"/>
        <v>91 Elementary trades and related occupations</v>
      </c>
      <c r="M106" s="322">
        <f t="shared" si="215"/>
        <v>5.4685194316700159</v>
      </c>
      <c r="N106" s="322">
        <f t="shared" si="215"/>
        <v>-29.912705746209589</v>
      </c>
      <c r="O106" s="322">
        <f t="shared" si="215"/>
        <v>22.503589145571002</v>
      </c>
      <c r="P106" s="322">
        <f t="shared" si="215"/>
        <v>9.4713730813343666</v>
      </c>
      <c r="Q106" s="322">
        <f t="shared" si="216"/>
        <v>10.271127029718819</v>
      </c>
      <c r="S106" s="322">
        <f t="shared" si="217"/>
        <v>13.653630867394284</v>
      </c>
      <c r="T106" s="322">
        <f t="shared" si="218"/>
        <v>8.4255116491377624</v>
      </c>
      <c r="U106" s="322">
        <f t="shared" si="219"/>
        <v>15.93197851247532</v>
      </c>
      <c r="W106" t="str">
        <f t="shared" si="256"/>
        <v>91 Elementary trades and related occupations</v>
      </c>
      <c r="X106" s="322">
        <f t="shared" si="220"/>
        <v>-5.4002190158348951</v>
      </c>
      <c r="Y106" s="322">
        <f t="shared" si="220"/>
        <v>-7.560854475189438</v>
      </c>
      <c r="Z106" s="322">
        <f t="shared" si="220"/>
        <v>25.133707206502475</v>
      </c>
      <c r="AA106" s="322">
        <f t="shared" si="220"/>
        <v>4.8473787848292371</v>
      </c>
      <c r="AB106" s="322">
        <f t="shared" si="221"/>
        <v>9.9370181443114483</v>
      </c>
      <c r="AD106" s="322">
        <f t="shared" si="222"/>
        <v>11.214946008702476</v>
      </c>
      <c r="AE106" s="322">
        <f t="shared" si="223"/>
        <v>8.8340608331583415</v>
      </c>
      <c r="AF106" s="322">
        <f t="shared" si="224"/>
        <v>14.362060105148045</v>
      </c>
      <c r="AH106" t="str">
        <f t="shared" si="257"/>
        <v>91 Elementary trades and related occupations</v>
      </c>
      <c r="AI106" s="322">
        <f t="shared" si="225"/>
        <v>-4.8379458129648167</v>
      </c>
      <c r="AJ106" s="322">
        <f t="shared" si="225"/>
        <v>-9.3835632973041321</v>
      </c>
      <c r="AK106" s="322">
        <f t="shared" si="225"/>
        <v>22.650190961319993</v>
      </c>
      <c r="AL106" s="322">
        <f t="shared" si="225"/>
        <v>4.4926209014672258</v>
      </c>
      <c r="AM106" s="322">
        <f t="shared" si="226"/>
        <v>8.8836752878605587</v>
      </c>
      <c r="AO106" s="322">
        <f t="shared" si="227"/>
        <v>10.224928169689807</v>
      </c>
      <c r="AP106" s="322">
        <f t="shared" si="228"/>
        <v>8.2496494223071259</v>
      </c>
      <c r="AQ106" s="322">
        <f t="shared" si="229"/>
        <v>13.395950523010324</v>
      </c>
      <c r="AS106" t="str">
        <f t="shared" si="258"/>
        <v>91 Elementary trades and related occupations</v>
      </c>
      <c r="AT106" s="322">
        <f t="shared" si="230"/>
        <v>-4.6186346633010693</v>
      </c>
      <c r="AU106" s="322">
        <f t="shared" si="230"/>
        <v>-1.3064076144714609</v>
      </c>
      <c r="AV106" s="322">
        <f t="shared" si="230"/>
        <v>23.18160388422308</v>
      </c>
      <c r="AW106" s="322">
        <f t="shared" si="230"/>
        <v>4.0792319350130057</v>
      </c>
      <c r="AX106" s="322">
        <f t="shared" si="231"/>
        <v>9.3430511686628535</v>
      </c>
      <c r="AZ106" s="322">
        <f t="shared" si="232"/>
        <v>10.09256845932709</v>
      </c>
      <c r="BA106" s="322">
        <f t="shared" si="233"/>
        <v>7.7811257009961832</v>
      </c>
      <c r="BB106" s="322">
        <f t="shared" si="234"/>
        <v>13.063722491109209</v>
      </c>
      <c r="BD106" t="str">
        <f t="shared" si="259"/>
        <v>91 Elementary trades and related occupations</v>
      </c>
      <c r="BE106" s="322">
        <f t="shared" si="235"/>
        <v>-0.83408285293903317</v>
      </c>
      <c r="BF106" s="322">
        <f t="shared" si="235"/>
        <v>-14.677206349671867</v>
      </c>
      <c r="BG106" s="322">
        <f t="shared" si="235"/>
        <v>13.915297520586245</v>
      </c>
      <c r="BH106" s="322">
        <f t="shared" si="235"/>
        <v>2.8302465338593263</v>
      </c>
      <c r="BI106" s="322">
        <f t="shared" si="236"/>
        <v>4.9419198393610309</v>
      </c>
      <c r="BK106" s="322">
        <f t="shared" si="237"/>
        <v>6.3999117149124096</v>
      </c>
      <c r="BL106" s="322">
        <f t="shared" si="238"/>
        <v>4.3614908580786205</v>
      </c>
      <c r="BM106" s="322">
        <f t="shared" si="239"/>
        <v>8.5704038342151012</v>
      </c>
      <c r="BO106" t="str">
        <f t="shared" si="260"/>
        <v>91 Elementary trades and related occupations</v>
      </c>
      <c r="BP106" s="322">
        <f t="shared" si="240"/>
        <v>-2.0675142386284207</v>
      </c>
      <c r="BQ106" s="322">
        <f t="shared" si="240"/>
        <v>-16.486790794028771</v>
      </c>
      <c r="BR106" s="322">
        <f t="shared" si="240"/>
        <v>13.688526747517905</v>
      </c>
      <c r="BS106" s="322">
        <f t="shared" si="240"/>
        <v>1.2279826959974871</v>
      </c>
      <c r="BT106" s="322">
        <f t="shared" si="241"/>
        <v>3.7131946051029763</v>
      </c>
      <c r="BV106" s="322">
        <f t="shared" si="242"/>
        <v>5.2218502613835538</v>
      </c>
      <c r="BW106" s="322">
        <f t="shared" si="243"/>
        <v>4.0500149876766534</v>
      </c>
      <c r="BX106" s="322">
        <f t="shared" si="244"/>
        <v>7.5021803658008812</v>
      </c>
      <c r="BZ106" t="str">
        <f t="shared" si="261"/>
        <v>91 Elementary trades and related occupations</v>
      </c>
      <c r="CA106" s="322">
        <f t="shared" si="245"/>
        <v>-4.0272486741042997</v>
      </c>
      <c r="CB106" s="322">
        <f t="shared" si="245"/>
        <v>-14.192570032604756</v>
      </c>
      <c r="CC106" s="322">
        <f t="shared" si="245"/>
        <v>9.3556656192890451</v>
      </c>
      <c r="CD106" s="322">
        <f t="shared" si="245"/>
        <v>-1.8137492372642616</v>
      </c>
      <c r="CE106" s="322">
        <f t="shared" si="246"/>
        <v>0.69661729802990013</v>
      </c>
      <c r="CG106" s="322">
        <f t="shared" si="247"/>
        <v>1.7765083275518512</v>
      </c>
      <c r="CH106" s="322">
        <f t="shared" si="248"/>
        <v>3.2823126024816185</v>
      </c>
      <c r="CI106" s="322">
        <f t="shared" si="249"/>
        <v>4.4649586444335698</v>
      </c>
      <c r="CK106" t="str">
        <f t="shared" si="262"/>
        <v>91 Elementary trades and related occupations</v>
      </c>
      <c r="CL106" s="322">
        <f t="shared" si="250"/>
        <v>-7.0172859069054905</v>
      </c>
      <c r="CM106" s="322">
        <f t="shared" si="250"/>
        <v>-5.3098370819732459</v>
      </c>
      <c r="CN106" s="322">
        <f t="shared" si="250"/>
        <v>4.4184483242245554</v>
      </c>
      <c r="CO106" s="322">
        <f t="shared" si="250"/>
        <v>-2.5947395122949746</v>
      </c>
      <c r="CP106" s="322">
        <f t="shared" si="251"/>
        <v>-0.63099353788599322</v>
      </c>
      <c r="CR106" s="322">
        <f t="shared" si="252"/>
        <v>-0.31097391908232463</v>
      </c>
      <c r="CS106" s="322">
        <f t="shared" si="253"/>
        <v>2.3176701855644133</v>
      </c>
      <c r="CT106" s="322">
        <f t="shared" si="254"/>
        <v>2.093470506765871</v>
      </c>
    </row>
    <row r="107" spans="1:98">
      <c r="A107" t="str">
        <f t="shared" si="209"/>
        <v>92 Elementary administration and service occupations</v>
      </c>
      <c r="B107" s="322">
        <f t="shared" si="210"/>
        <v>6.8170096603652253</v>
      </c>
      <c r="C107" s="322">
        <f t="shared" si="210"/>
        <v>-12.133921905743927</v>
      </c>
      <c r="D107" s="322">
        <f t="shared" si="210"/>
        <v>5.250797689896558</v>
      </c>
      <c r="E107" s="322">
        <f t="shared" si="210"/>
        <v>4.9083002832739586</v>
      </c>
      <c r="F107" s="322">
        <f t="shared" si="211"/>
        <v>3.8581113097622355</v>
      </c>
      <c r="H107" s="322">
        <f t="shared" si="212"/>
        <v>5.0223420701108079</v>
      </c>
      <c r="I107" s="322">
        <f t="shared" si="213"/>
        <v>3.9651373874203921</v>
      </c>
      <c r="J107" s="322">
        <f t="shared" si="214"/>
        <v>7.30027784532985</v>
      </c>
      <c r="L107" t="str">
        <f t="shared" ref="L107" si="263">A107</f>
        <v>92 Elementary administration and service occupations</v>
      </c>
      <c r="M107" s="322">
        <f t="shared" si="215"/>
        <v>8.0405221016777375</v>
      </c>
      <c r="N107" s="322">
        <f t="shared" si="215"/>
        <v>-5.1992551772562674</v>
      </c>
      <c r="O107" s="322">
        <f t="shared" si="215"/>
        <v>6.0183651755820078</v>
      </c>
      <c r="P107" s="322">
        <f t="shared" si="215"/>
        <v>6.2284414398361632</v>
      </c>
      <c r="Q107" s="322">
        <f t="shared" si="216"/>
        <v>5.4102479927240488</v>
      </c>
      <c r="S107" s="322">
        <f t="shared" si="217"/>
        <v>6.1583698071206561</v>
      </c>
      <c r="T107" s="322">
        <f t="shared" si="218"/>
        <v>4.3660914858740796</v>
      </c>
      <c r="U107" s="322">
        <f t="shared" si="219"/>
        <v>8.3918146064102963</v>
      </c>
      <c r="W107" t="str">
        <f t="shared" ref="W107" si="264">A107</f>
        <v>92 Elementary administration and service occupations</v>
      </c>
      <c r="X107" s="322">
        <f t="shared" si="220"/>
        <v>-0.18395282067357188</v>
      </c>
      <c r="Y107" s="322">
        <f t="shared" si="220"/>
        <v>10.071433214180804</v>
      </c>
      <c r="Z107" s="322">
        <f t="shared" si="220"/>
        <v>1.414716528248916</v>
      </c>
      <c r="AA107" s="322">
        <f t="shared" si="220"/>
        <v>2.0287717385652826</v>
      </c>
      <c r="AB107" s="322">
        <f t="shared" si="221"/>
        <v>2.3205537798871356</v>
      </c>
      <c r="AD107" s="322">
        <f t="shared" si="222"/>
        <v>1.8236746609007648</v>
      </c>
      <c r="AE107" s="322">
        <f t="shared" si="223"/>
        <v>3.7817776794836444</v>
      </c>
      <c r="AF107" s="322">
        <f t="shared" si="224"/>
        <v>4.9240098074758487</v>
      </c>
      <c r="AH107" t="str">
        <f t="shared" ref="AH107" si="265">L107</f>
        <v>92 Elementary administration and service occupations</v>
      </c>
      <c r="AI107" s="322">
        <f t="shared" si="225"/>
        <v>-0.87786518846265649</v>
      </c>
      <c r="AJ107" s="322">
        <f t="shared" si="225"/>
        <v>9.8477709528661084</v>
      </c>
      <c r="AK107" s="322">
        <f t="shared" si="225"/>
        <v>0.89455357005985281</v>
      </c>
      <c r="AL107" s="322">
        <f t="shared" si="225"/>
        <v>2.6441415883647679</v>
      </c>
      <c r="AM107" s="322">
        <f t="shared" si="226"/>
        <v>2.5278784598470327</v>
      </c>
      <c r="AO107" s="322">
        <f t="shared" si="227"/>
        <v>2.0576002826909967</v>
      </c>
      <c r="AP107" s="322">
        <f t="shared" si="228"/>
        <v>3.5659880472457051</v>
      </c>
      <c r="AQ107" s="322">
        <f t="shared" si="229"/>
        <v>4.8977140380138451</v>
      </c>
      <c r="AS107" t="str">
        <f t="shared" ref="AS107" si="266">W107</f>
        <v>92 Elementary administration and service occupations</v>
      </c>
      <c r="AT107" s="322">
        <f t="shared" si="230"/>
        <v>-0.90860768653796553</v>
      </c>
      <c r="AU107" s="322">
        <f t="shared" si="230"/>
        <v>10.325951069844086</v>
      </c>
      <c r="AV107" s="322">
        <f t="shared" si="230"/>
        <v>0.52592923125787117</v>
      </c>
      <c r="AW107" s="322">
        <f t="shared" si="230"/>
        <v>2.3718319525771081</v>
      </c>
      <c r="AX107" s="322">
        <f t="shared" si="231"/>
        <v>2.2685402533743737</v>
      </c>
      <c r="AZ107" s="322">
        <f t="shared" si="232"/>
        <v>1.7527953112655981</v>
      </c>
      <c r="BA107" s="322">
        <f t="shared" si="233"/>
        <v>3.5483133029027281</v>
      </c>
      <c r="BB107" s="322">
        <f t="shared" si="234"/>
        <v>4.6764430925575473</v>
      </c>
      <c r="BD107" t="str">
        <f t="shared" ref="BD107" si="267">AH107</f>
        <v>92 Elementary administration and service occupations</v>
      </c>
      <c r="BE107" s="322">
        <f t="shared" si="235"/>
        <v>-0.62876321277752778</v>
      </c>
      <c r="BF107" s="322">
        <f t="shared" si="235"/>
        <v>-7.4778807220603927</v>
      </c>
      <c r="BG107" s="322">
        <f t="shared" si="235"/>
        <v>-2.1632347099548754</v>
      </c>
      <c r="BH107" s="322">
        <f t="shared" si="235"/>
        <v>-1.1453901143683942</v>
      </c>
      <c r="BI107" s="322">
        <f t="shared" si="236"/>
        <v>-1.8714618518508641</v>
      </c>
      <c r="BK107" s="322">
        <f t="shared" si="237"/>
        <v>-1.4858428103972865</v>
      </c>
      <c r="BL107" s="322">
        <f t="shared" si="238"/>
        <v>2.3519592677749834</v>
      </c>
      <c r="BM107" s="322">
        <f t="shared" si="239"/>
        <v>1.3129443468110402</v>
      </c>
      <c r="BO107" t="str">
        <f t="shared" ref="BO107" si="268">AS107</f>
        <v>92 Elementary administration and service occupations</v>
      </c>
      <c r="BP107" s="322">
        <f t="shared" si="240"/>
        <v>0.79262085251701198</v>
      </c>
      <c r="BQ107" s="322">
        <f t="shared" si="240"/>
        <v>-17.934747232587277</v>
      </c>
      <c r="BR107" s="322">
        <f t="shared" si="240"/>
        <v>0.12371575735989904</v>
      </c>
      <c r="BS107" s="322">
        <f t="shared" si="240"/>
        <v>-1.0992478241212522</v>
      </c>
      <c r="BT107" s="322">
        <f t="shared" si="241"/>
        <v>-1.8698408604981731</v>
      </c>
      <c r="BV107" s="322">
        <f t="shared" si="242"/>
        <v>-0.69326214077729542</v>
      </c>
      <c r="BW107" s="322">
        <f t="shared" si="243"/>
        <v>2.6801487263806045</v>
      </c>
      <c r="BX107" s="322">
        <f t="shared" si="244"/>
        <v>2.2091439740950403</v>
      </c>
      <c r="BZ107" t="str">
        <f t="shared" ref="BZ107" si="269">BD107</f>
        <v>92 Elementary administration and service occupations</v>
      </c>
      <c r="CA107" s="322">
        <f t="shared" si="245"/>
        <v>-2.3279632388399252</v>
      </c>
      <c r="CB107" s="322">
        <f t="shared" si="245"/>
        <v>-14.031895592134958</v>
      </c>
      <c r="CC107" s="322">
        <f t="shared" si="245"/>
        <v>-4.0795288790441813</v>
      </c>
      <c r="CD107" s="322">
        <f t="shared" si="245"/>
        <v>-4.4786942973099153</v>
      </c>
      <c r="CE107" s="322">
        <f t="shared" si="246"/>
        <v>-4.981969758618332</v>
      </c>
      <c r="CG107" s="322">
        <f t="shared" si="247"/>
        <v>-4.345824066207582</v>
      </c>
      <c r="CH107" s="322">
        <f t="shared" si="248"/>
        <v>1.760014151007816</v>
      </c>
      <c r="CI107" s="322">
        <f t="shared" si="249"/>
        <v>-1.3733805705236524</v>
      </c>
      <c r="CK107" t="str">
        <f t="shared" ref="CK107" si="270">BO107</f>
        <v>92 Elementary administration and service occupations</v>
      </c>
      <c r="CL107" s="322">
        <f t="shared" si="250"/>
        <v>-9.9753069481758327</v>
      </c>
      <c r="CM107" s="322">
        <f t="shared" si="250"/>
        <v>-2.2919346644670324</v>
      </c>
      <c r="CN107" s="322">
        <f t="shared" si="250"/>
        <v>-12.278935426741233</v>
      </c>
      <c r="CO107" s="322">
        <f t="shared" si="250"/>
        <v>-6.5588647394606125</v>
      </c>
      <c r="CP107" s="322">
        <f t="shared" si="251"/>
        <v>-8.1293193384094806</v>
      </c>
      <c r="CR107" s="322">
        <f t="shared" si="252"/>
        <v>-8.5058411758991532</v>
      </c>
      <c r="CS107" s="322">
        <f t="shared" si="253"/>
        <v>0.89466862730029906</v>
      </c>
      <c r="CT107" s="322">
        <f t="shared" si="254"/>
        <v>-5.8244317225011999</v>
      </c>
    </row>
    <row r="108" spans="1:98">
      <c r="B108" s="322"/>
      <c r="C108" s="322"/>
      <c r="D108" s="322"/>
      <c r="E108" s="322"/>
      <c r="F108" s="322"/>
      <c r="H108" s="322"/>
      <c r="I108" s="322"/>
      <c r="J108" s="322"/>
      <c r="M108" s="322"/>
      <c r="N108" s="322"/>
      <c r="O108" s="322"/>
      <c r="P108" s="322"/>
      <c r="Q108" s="322"/>
      <c r="S108" s="322"/>
      <c r="T108" s="322"/>
      <c r="U108" s="322"/>
      <c r="X108" s="322"/>
      <c r="Y108" s="322"/>
      <c r="Z108" s="322"/>
      <c r="AA108" s="322"/>
      <c r="AB108" s="322"/>
      <c r="AD108" s="322"/>
      <c r="AE108" s="322"/>
      <c r="AF108" s="322"/>
      <c r="AI108" s="322"/>
      <c r="AJ108" s="322"/>
      <c r="AK108" s="322"/>
      <c r="AL108" s="322"/>
      <c r="AM108" s="322"/>
      <c r="AO108" s="322"/>
      <c r="AP108" s="322"/>
      <c r="AQ108" s="322"/>
      <c r="AT108" s="322"/>
      <c r="AU108" s="322"/>
      <c r="AV108" s="322"/>
      <c r="AW108" s="322"/>
      <c r="AX108" s="322"/>
      <c r="AZ108" s="322"/>
      <c r="BA108" s="322"/>
      <c r="BB108" s="322"/>
      <c r="BE108" s="322"/>
      <c r="BF108" s="322"/>
      <c r="BG108" s="322"/>
      <c r="BH108" s="322"/>
      <c r="BI108" s="322"/>
      <c r="BK108" s="322"/>
      <c r="BL108" s="322"/>
      <c r="BM108" s="322"/>
      <c r="BP108" s="322"/>
      <c r="BQ108" s="322"/>
      <c r="BR108" s="322"/>
      <c r="BS108" s="322"/>
      <c r="BT108" s="322"/>
      <c r="BV108" s="322"/>
      <c r="BW108" s="322"/>
      <c r="BX108" s="322"/>
      <c r="CA108" s="322"/>
      <c r="CB108" s="322"/>
      <c r="CC108" s="322"/>
      <c r="CD108" s="322"/>
      <c r="CE108" s="322"/>
      <c r="CG108" s="322"/>
      <c r="CH108" s="322"/>
      <c r="CI108" s="322"/>
      <c r="CL108" s="322"/>
      <c r="CM108" s="322"/>
      <c r="CN108" s="322"/>
      <c r="CO108" s="322"/>
      <c r="CP108" s="322"/>
      <c r="CR108" s="322"/>
      <c r="CS108" s="322"/>
      <c r="CT108" s="322"/>
    </row>
    <row r="109" spans="1:98">
      <c r="A109" s="22" t="str">
        <f>A35</f>
        <v>All occupations</v>
      </c>
      <c r="B109" s="361">
        <f>IF(AND(C$6-B$6 &lt;&gt; 0,B35&lt;&gt;0,C35&lt;&gt;0),(EXP(LN(C35/B35)/(C$6-B$6))-1)*100,0)</f>
        <v>8.321276423262546</v>
      </c>
      <c r="C109" s="361">
        <f>IF(AND(D$6-C$6 &lt;&gt; 0,C35&lt;&gt;0,D35&lt;&gt;0),(EXP(LN(D35/C35)/(D$6-C$6))-1)*100,0)</f>
        <v>-2.9461719634329753</v>
      </c>
      <c r="D109" s="361">
        <f>IF(AND(E$6-D$6 &lt;&gt; 0,D35&lt;&gt;0,E35&lt;&gt;0),(EXP(LN(E35/D35)/(E$6-D$6))-1)*100,0)</f>
        <v>5.2736651145490088</v>
      </c>
      <c r="E109" s="361">
        <f>IF(AND(F$6-E$6 &lt;&gt; 0,E35&lt;&gt;0,F35&lt;&gt;0),(EXP(LN(F35/E35)/(F$6-E$6))-1)*100,0)</f>
        <v>3.9259229997445466</v>
      </c>
      <c r="F109" s="361">
        <f>IF(AND(F$6-C$6 &lt;&gt; 0,C35&lt;&gt;0,F35&lt;&gt;0),(EXP(LN(F35/C35)/(F$6-C$6))-1)*100,0)</f>
        <v>3.9000228453071273</v>
      </c>
      <c r="H109" s="361">
        <f t="shared" ref="H109" si="271">IF($F$6-$D$6 &lt;&gt; 0,(EXP(LN(1+(H72/100))/($F$6-$D$6))-1)*100,0)</f>
        <v>4.3732422518679037</v>
      </c>
      <c r="I109" s="361">
        <f t="shared" ref="I109" si="272">IF(D35&gt;0,((1+(I35/D35))^(1/($F$6-$D$6))-1)*100,0)</f>
        <v>3.5034324085416069</v>
      </c>
      <c r="J109" s="361">
        <f t="shared" ref="J109" si="273">IF($F$6-$D$6 &lt;&gt; 0,(EXP(LN(1+(J72/100))/($F$6-$D$6))-1)*100,0)</f>
        <v>6.512988970409106</v>
      </c>
      <c r="L109" s="22" t="str">
        <f>L35</f>
        <v>All occupations</v>
      </c>
      <c r="M109" s="361">
        <f>IF(AND(N$6-M$6 &lt;&gt; 0,M35&lt;&gt;0,N35&lt;&gt;0),(EXP(LN(N35/M35)/(N$6-M$6))-1)*100,0)</f>
        <v>8.6915274444937296</v>
      </c>
      <c r="N109" s="361">
        <f>IF(AND(O$6-N$6 &lt;&gt; 0,N35&lt;&gt;0,O35&lt;&gt;0),(EXP(LN(O35/N35)/(O$6-N$6))-1)*100,0)</f>
        <v>-0.12179872392621416</v>
      </c>
      <c r="O109" s="361">
        <f>IF(AND(P$6-O$6 &lt;&gt; 0,O35&lt;&gt;0,P35&lt;&gt;0),(EXP(LN(P35/O35)/(P$6-O$6))-1)*100,0)</f>
        <v>4.8853134020049094</v>
      </c>
      <c r="P109" s="361">
        <f>IF(AND(Q$6-P$6 &lt;&gt; 0,P35&lt;&gt;0,Q35&lt;&gt;0),(EXP(LN(Q35/P35)/(Q$6-P$6))-1)*100,0)</f>
        <v>3.9128356983175294</v>
      </c>
      <c r="Q109" s="361">
        <f>IF(AND(Q$6-N$6 &lt;&gt; 0,N35&lt;&gt;0,Q35&lt;&gt;0),(EXP(LN(Q35/N35)/(Q$6-N$6))-1)*100,0)</f>
        <v>3.9581410423084051</v>
      </c>
      <c r="S109" s="361">
        <f t="shared" ref="S109" si="274">IF($F$6-$D$6 &lt;&gt; 0,(EXP(LN(1+(S72/100))/($F$6-$D$6))-1)*100,0)</f>
        <v>4.235988933338275</v>
      </c>
      <c r="T109" s="361">
        <f t="shared" ref="T109" si="275">IF(O35&gt;0,((1+(T35/O35))^(1/($F$6-$D$6))-1)*100,0)</f>
        <v>3.6047070621748167</v>
      </c>
      <c r="U109" s="361">
        <f t="shared" ref="U109" si="276">IF($F$6-$D$6 &lt;&gt; 0,(EXP(LN(1+(U72/100))/($F$6-$D$6))-1)*100,0)</f>
        <v>6.4788161916825793</v>
      </c>
      <c r="W109" s="22" t="str">
        <f>W35</f>
        <v>All occupations</v>
      </c>
      <c r="X109" s="361">
        <f>IF(AND(Y$6-X$6 &lt;&gt; 0,X35&lt;&gt;0,Y35&lt;&gt;0),(EXP(LN(Y35/X35)/(Y$6-X$6))-1)*100,0)</f>
        <v>-0.52899947469071673</v>
      </c>
      <c r="Y109" s="361">
        <f>IF(AND(Z$6-Y$6 &lt;&gt; 0,Y35&lt;&gt;0,Z35&lt;&gt;0),(EXP(LN(Z35/Y35)/(Z$6-Y$6))-1)*100,0)</f>
        <v>11.131282318648616</v>
      </c>
      <c r="Z109" s="361">
        <f>IF(AND(AA$6-Z$6 &lt;&gt; 0,Z35&lt;&gt;0,AA35&lt;&gt;0),(EXP(LN(AA35/Z35)/(AA$6-Z$6))-1)*100,0)</f>
        <v>1.3915466177255142</v>
      </c>
      <c r="AA109" s="361">
        <f>IF(AND(AB$6-AA$6 &lt;&gt; 0,AA35&lt;&gt;0,AB35&lt;&gt;0),(EXP(LN(AB35/AA35)/(AB$6-AA$6))-1)*100,0)</f>
        <v>1.4181967333491086</v>
      </c>
      <c r="AB109" s="361">
        <f>IF(AND(AB$6-Y$6 &lt;&gt; 0,Y35&lt;&gt;0,AB35&lt;&gt;0),(EXP(LN(AB35/Y35)/(AB$6-Y$6))-1)*100,0)</f>
        <v>1.991210010239497</v>
      </c>
      <c r="AD109" s="361">
        <f t="shared" ref="AD109" si="277">IF($F$6-$D$6 &lt;&gt; 0,(EXP(LN(1+(AD72/100))/($F$6-$D$6))-1)*100,0)</f>
        <v>1.4093125832530973</v>
      </c>
      <c r="AE109" s="361">
        <f t="shared" ref="AE109" si="278">IF(Z35&gt;0,((1+(AE35/Z35))^(1/($F$6-$D$6))-1)*100,0)</f>
        <v>3.2822175301435497</v>
      </c>
      <c r="AF109" s="361">
        <f t="shared" ref="AF109" si="279">IF($F$6-$D$6 &lt;&gt; 0,(EXP(LN(1+(AF72/100))/($F$6-$D$6))-1)*100,0)</f>
        <v>4.2120722793940413</v>
      </c>
      <c r="AH109" s="22" t="str">
        <f>AH35</f>
        <v>All occupations</v>
      </c>
      <c r="AI109" s="361">
        <f>IF(AND(AJ$6-AI$6 &lt;&gt; 0,AI35&lt;&gt;0,AJ35&lt;&gt;0),(EXP(LN(AJ35/AI35)/(AJ$6-AI$6))-1)*100,0)</f>
        <v>-2.1445168961973793</v>
      </c>
      <c r="AJ109" s="361">
        <f>IF(AND(AK$6-AJ$6 &lt;&gt; 0,AJ35&lt;&gt;0,AK35&lt;&gt;0),(EXP(LN(AK35/AJ35)/(AK$6-AJ$6))-1)*100,0)</f>
        <v>11.320269975336261</v>
      </c>
      <c r="AK109" s="361">
        <f>IF(AND(AL$6-AK$6 &lt;&gt; 0,AK35&lt;&gt;0,AL35&lt;&gt;0),(EXP(LN(AL35/AK35)/(AL$6-AK$6))-1)*100,0)</f>
        <v>-0.53466237248130932</v>
      </c>
      <c r="AL109" s="361">
        <f>IF(AND(AM$6-AL$6 &lt;&gt; 0,AL35&lt;&gt;0,AM35&lt;&gt;0),(EXP(LN(AM35/AL35)/(AM$6-AL$6))-1)*100,0)</f>
        <v>0.80822535924003347</v>
      </c>
      <c r="AM109" s="361">
        <f>IF(AND(AM$6-AJ$6 &lt;&gt; 0,AJ35&lt;&gt;0,AM35&lt;&gt;0),(EXP(LN(AM35/AJ35)/(AM$6-AJ$6))-1)*100,0)</f>
        <v>1.0109130900259222</v>
      </c>
      <c r="AO109" s="361">
        <f t="shared" ref="AO109" si="280">IF($F$6-$D$6 &lt;&gt; 0,(EXP(LN(1+(AO72/100))/($F$6-$D$6))-1)*100,0)</f>
        <v>0.35859361875314466</v>
      </c>
      <c r="AP109" s="361">
        <f t="shared" ref="AP109" si="281">IF(AK35&gt;0,((1+(AP35/AK35))^(1/($F$6-$D$6))-1)*100,0)</f>
        <v>2.9191888110438269</v>
      </c>
      <c r="AQ109" s="361">
        <f t="shared" ref="AQ109" si="282">IF($F$6-$D$6 &lt;&gt; 0,(EXP(LN(1+(AQ72/100))/($F$6-$D$6))-1)*100,0)</f>
        <v>3.1609750556860883</v>
      </c>
      <c r="AS109" s="22" t="str">
        <f>AS35</f>
        <v>All occupations</v>
      </c>
      <c r="AT109" s="361">
        <f>IF(AND(AU$6-AT$6 &lt;&gt; 0,AT35&lt;&gt;0,AU35&lt;&gt;0),(EXP(LN(AU35/AT35)/(AU$6-AT$6))-1)*100,0)</f>
        <v>-1.7825227102071683</v>
      </c>
      <c r="AU109" s="361">
        <f>IF(AND(AV$6-AU$6 &lt;&gt; 0,AU35&lt;&gt;0,AV35&lt;&gt;0),(EXP(LN(AV35/AU35)/(AV$6-AU$6))-1)*100,0)</f>
        <v>8.8552777365380706</v>
      </c>
      <c r="AV109" s="361">
        <f>IF(AND(AW$6-AV$6 &lt;&gt; 0,AV35&lt;&gt;0,AW35&lt;&gt;0),(EXP(LN(AW35/AV35)/(AW$6-AV$6))-1)*100,0)</f>
        <v>0.71195026147057305</v>
      </c>
      <c r="AW109" s="361">
        <f>IF(AND(AX$6-AW$6 &lt;&gt; 0,AW35&lt;&gt;0,AX35&lt;&gt;0),(EXP(LN(AX35/AW35)/(AX$6-AW$6))-1)*100,0)</f>
        <v>1.2905085058766863</v>
      </c>
      <c r="AX109" s="361">
        <f>IF(AND(AX$6-AU$6 &lt;&gt; 0,AU35&lt;&gt;0,AX35&lt;&gt;0),(EXP(LN(AX35/AU35)/(AX$6-AU$6))-1)*100,0)</f>
        <v>1.5655388922688918</v>
      </c>
      <c r="AZ109" s="361">
        <f t="shared" ref="AZ109" si="283">IF($F$6-$D$6 &lt;&gt; 0,(EXP(LN(1+(AZ72/100))/($F$6-$D$6))-1)*100,0)</f>
        <v>1.0972874048242653</v>
      </c>
      <c r="BA109" s="361">
        <f t="shared" ref="BA109" si="284">IF(AV35&gt;0,((1+(BA35/AV35))^(1/($F$6-$D$6))-1)*100,0)</f>
        <v>3.0024688113333919</v>
      </c>
      <c r="BB109" s="361">
        <f t="shared" ref="BB109" si="285">IF($F$6-$D$6 &lt;&gt; 0,(EXP(LN(1+(BB72/100))/($F$6-$D$6))-1)*100,0)</f>
        <v>3.7472024867496234</v>
      </c>
      <c r="BD109" s="22" t="str">
        <f>BD35</f>
        <v>All occupations</v>
      </c>
      <c r="BE109" s="361">
        <f>IF(AND(BF$6-BE$6 &lt;&gt; 0,BE35&lt;&gt;0,BF35&lt;&gt;0),(EXP(LN(BF35/BE35)/(BF$6-BE$6))-1)*100,0)</f>
        <v>2.0454028977315186</v>
      </c>
      <c r="BF109" s="361">
        <f>IF(AND(BG$6-BF$6 &lt;&gt; 0,BF35&lt;&gt;0,BG35&lt;&gt;0),(EXP(LN(BG35/BF35)/(BG$6-BF$6))-1)*100,0)</f>
        <v>-4.878075011497085</v>
      </c>
      <c r="BG109" s="361">
        <f>IF(AND(BH$6-BG$6 &lt;&gt; 0,BG35&lt;&gt;0,BH35&lt;&gt;0),(EXP(LN(BH35/BG35)/(BH$6-BG$6))-1)*100,0)</f>
        <v>0.90686963956727595</v>
      </c>
      <c r="BH109" s="361">
        <f>IF(AND(BI$6-BH$6 &lt;&gt; 0,BH35&lt;&gt;0,BI35&lt;&gt;0),(EXP(LN(BI35/BH35)/(BI$6-BH$6))-1)*100,0)</f>
        <v>9.4204400657149634E-2</v>
      </c>
      <c r="BI109" s="361">
        <f>IF(AND(BI$6-BF$6 &lt;&gt; 0,BF35&lt;&gt;0,BI35&lt;&gt;0),(EXP(LN(BI35/BF35)/(BI$6-BF$6))-1)*100,0)</f>
        <v>2.8406676202230585E-2</v>
      </c>
      <c r="BK109" s="361">
        <f t="shared" ref="BK109" si="286">IF($F$6-$D$6 &lt;&gt; 0,(EXP(LN(1+(BK72/100))/($F$6-$D$6))-1)*100,0)</f>
        <v>0.36436298789437327</v>
      </c>
      <c r="BL109" s="361">
        <f t="shared" ref="BL109" si="287">IF(BG35&gt;0,((1+(BL35/BG35))^(1/($F$6-$D$6))-1)*100,0)</f>
        <v>2.5857724808655558</v>
      </c>
      <c r="BM109" s="361">
        <f t="shared" ref="BM109" si="288">IF($F$6-$D$6 &lt;&gt; 0,(EXP(LN(1+(BM72/100))/($F$6-$D$6))-1)*100,0)</f>
        <v>2.8426909265016675</v>
      </c>
      <c r="BO109" s="22" t="str">
        <f>BO35</f>
        <v>All occupations</v>
      </c>
      <c r="BP109" s="361">
        <f>IF(AND(BQ$6-BP$6 &lt;&gt; 0,BP35&lt;&gt;0,BQ35&lt;&gt;0),(EXP(LN(BQ35/BP35)/(BQ$6-BP$6))-1)*100,0)</f>
        <v>0.65865767940163078</v>
      </c>
      <c r="BQ109" s="361">
        <f>IF(AND(BR$6-BQ$6 &lt;&gt; 0,BQ35&lt;&gt;0,BR35&lt;&gt;0),(EXP(LN(BR35/BQ35)/(BR$6-BQ$6))-1)*100,0)</f>
        <v>-13.685794152804476</v>
      </c>
      <c r="BR109" s="361">
        <f>IF(AND(BS$6-BR$6 &lt;&gt; 0,BR35&lt;&gt;0,BS35&lt;&gt;0),(EXP(LN(BS35/BR35)/(BS$6-BR$6))-1)*100,0)</f>
        <v>1.086316602878501</v>
      </c>
      <c r="BS109" s="361">
        <f>IF(AND(BT$6-BS$6 &lt;&gt; 0,BS35&lt;&gt;0,BT35&lt;&gt;0),(EXP(LN(BT35/BS35)/(BT$6-BS$6))-1)*100,0)</f>
        <v>-1.3404288034414513</v>
      </c>
      <c r="BT109" s="361">
        <f>IF(AND(BT$6-BQ$6 &lt;&gt; 0,BQ35&lt;&gt;0,BT35&lt;&gt;0),(EXP(LN(BT35/BQ35)/(BT$6-BQ$6))-1)*100,0)</f>
        <v>-1.4155260433701411</v>
      </c>
      <c r="BV109" s="361">
        <f t="shared" ref="BV109" si="289">IF($F$6-$D$6 &lt;&gt; 0,(EXP(LN(1+(BV72/100))/($F$6-$D$6))-1)*100,0)</f>
        <v>-0.53805683512009317</v>
      </c>
      <c r="BW109" s="361">
        <f t="shared" ref="BW109" si="290">IF(BR35&gt;0,((1+(BW35/BR35))^(1/($F$6-$D$6))-1)*100,0)</f>
        <v>2.6231893106019921</v>
      </c>
      <c r="BX109" s="361">
        <f t="shared" ref="BX109" si="291">IF($F$6-$D$6 &lt;&gt; 0,(EXP(LN(1+(BX72/100))/($F$6-$D$6))-1)*100,0)</f>
        <v>2.2533347714752017</v>
      </c>
      <c r="BZ109" s="22" t="str">
        <f>BZ35</f>
        <v>All occupations</v>
      </c>
      <c r="CA109" s="361">
        <f>IF(AND(CB$6-CA$6 &lt;&gt; 0,CA35&lt;&gt;0,CB35&lt;&gt;0),(EXP(LN(CB35/CA35)/(CB$6-CA$6))-1)*100,0)</f>
        <v>-2.9030947310330846</v>
      </c>
      <c r="CB109" s="361">
        <f>IF(AND(CC$6-CB$6 &lt;&gt; 0,CB35&lt;&gt;0,CC35&lt;&gt;0),(EXP(LN(CC35/CB35)/(CC$6-CB$6))-1)*100,0)</f>
        <v>-9.0270493727014909</v>
      </c>
      <c r="CC109" s="361">
        <f>IF(AND(CD$6-CC$6 &lt;&gt; 0,CC35&lt;&gt;0,CD35&lt;&gt;0),(EXP(LN(CD35/CC35)/(CD$6-CC$6))-1)*100,0)</f>
        <v>-2.911406305766373</v>
      </c>
      <c r="CD109" s="361">
        <f>IF(AND(CE$6-CD$6 &lt;&gt; 0,CD35&lt;&gt;0,CE35&lt;&gt;0),(EXP(LN(CE35/CD35)/(CE$6-CD$6))-1)*100,0)</f>
        <v>-4.7219840053287943</v>
      </c>
      <c r="CE109" s="361">
        <f>IF(AND(CE$6-CB$6 &lt;&gt; 0,CB35&lt;&gt;0,CE35&lt;&gt;0),(EXP(LN(CE35/CB35)/(CE$6-CB$6))-1)*100,0)</f>
        <v>-4.4363951095078065</v>
      </c>
      <c r="CG109" s="361">
        <f t="shared" ref="CG109" si="292">IF($F$6-$D$6 &lt;&gt; 0,(EXP(LN(1+(CG72/100))/($F$6-$D$6))-1)*100,0)</f>
        <v>-4.1222412041844292</v>
      </c>
      <c r="CH109" s="361">
        <f t="shared" ref="CH109" si="293">IF(CC35&gt;0,((1+(CH35/CC35))^(1/($F$6-$D$6))-1)*100,0)</f>
        <v>1.8081294259755021</v>
      </c>
      <c r="CI109" s="361">
        <f t="shared" ref="CI109" si="294">IF($F$6-$D$6 &lt;&gt; 0,(EXP(LN(1+(CI72/100))/($F$6-$D$6))-1)*100,0)</f>
        <v>-1.1539546035006398</v>
      </c>
      <c r="CK109" s="22" t="str">
        <f>CK35</f>
        <v>All occupations</v>
      </c>
      <c r="CL109" s="361">
        <f>IF(AND(CM$6-CL$6 &lt;&gt; 0,CL35&lt;&gt;0,CM35&lt;&gt;0),(EXP(LN(CM35/CL35)/(CM$6-CL$6))-1)*100,0)</f>
        <v>-5.7367926221307268</v>
      </c>
      <c r="CM109" s="361">
        <f>IF(AND(CN$6-CM$6 &lt;&gt; 0,CM35&lt;&gt;0,CN35&lt;&gt;0),(EXP(LN(CN35/CM35)/(CN$6-CM$6))-1)*100,0)</f>
        <v>-1.7888401820056687</v>
      </c>
      <c r="CN109" s="361">
        <f>IF(AND(CO$6-CN$6 &lt;&gt; 0,CN35&lt;&gt;0,CO35&lt;&gt;0),(EXP(LN(CO35/CN35)/(CO$6-CN$6))-1)*100,0)</f>
        <v>-8.9326896675862457</v>
      </c>
      <c r="CO109" s="361">
        <f>IF(AND(CP$6-CO$6 &lt;&gt; 0,CO35&lt;&gt;0,CP35&lt;&gt;0),(EXP(LN(CP35/CO35)/(CP$6-CO$6))-1)*100,0)</f>
        <v>-4.819776887887528</v>
      </c>
      <c r="CP109" s="361">
        <f>IF(AND(CP$6-CM$6 &lt;&gt; 0,CM35&lt;&gt;0,CP35&lt;&gt;0),(EXP(LN(CP35/CM35)/(CP$6-CM$6))-1)*100,0)</f>
        <v>-5.9405281351234684</v>
      </c>
      <c r="CR109" s="361">
        <f t="shared" ref="CR109" si="295">IF($F$6-$D$6 &lt;&gt; 0,(EXP(LN(1+(CR72/100))/($F$6-$D$6))-1)*100,0)</f>
        <v>-6.2109833796336726</v>
      </c>
      <c r="CS109" s="361">
        <f t="shared" ref="CS109" si="296">IF(CN35&gt;0,((1+(CS35/CN35))^(1/($F$6-$D$6))-1)*100,0)</f>
        <v>1.2022982894636547</v>
      </c>
      <c r="CT109" s="361">
        <f t="shared" ref="CT109" si="297">IF($F$6-$D$6 &lt;&gt; 0,(EXP(LN(1+(CT72/100))/($F$6-$D$6))-1)*100,0)</f>
        <v>-3.5826444078035258</v>
      </c>
    </row>
    <row r="112" spans="1:98" ht="47.25" customHeight="1">
      <c r="A112" s="353" t="str">
        <f>CONCATENATE(A$1," (Continued)")</f>
        <v>Basic Table 2  Employment Change by Occupation and Replacement Demand, RQF8 Doctorate, 2015-2035, Black Country (Continued)</v>
      </c>
      <c r="B112" s="353"/>
      <c r="C112" s="353"/>
      <c r="D112" s="353"/>
      <c r="E112" s="353"/>
      <c r="F112" s="353"/>
      <c r="G112" s="353"/>
      <c r="H112" s="353"/>
      <c r="I112" s="353"/>
      <c r="J112" s="353"/>
      <c r="L112" s="353" t="str">
        <f>CONCATENATE(L$1," (Continued)")</f>
        <v>Basic Table 2.1  Employment Change by Occupation and Replacement Demand, RQF7 Other higher degree, 2015-2035, Black Country (Continued)</v>
      </c>
      <c r="M112" s="353"/>
      <c r="N112" s="353"/>
      <c r="O112" s="353"/>
      <c r="P112" s="353"/>
      <c r="Q112" s="353"/>
      <c r="R112" s="353"/>
      <c r="S112" s="353"/>
      <c r="T112" s="353"/>
      <c r="U112" s="353"/>
      <c r="W112" s="353" t="str">
        <f>CONCATENATE(W$1," (Continued)")</f>
        <v>Basic Table 2.2  Employment Change by Occupation and Replacement Demand, RQF6 First degree, 2015-2035, Black Country (Continued)</v>
      </c>
      <c r="X112" s="353"/>
      <c r="Y112" s="353"/>
      <c r="Z112" s="353"/>
      <c r="AA112" s="353"/>
      <c r="AB112" s="353"/>
      <c r="AC112" s="353"/>
      <c r="AD112" s="353"/>
      <c r="AE112" s="353"/>
      <c r="AF112" s="353"/>
      <c r="AH112" s="353" t="str">
        <f>CONCATENATE(AH$1," (Continued)")</f>
        <v>Basic Table 2.3  Employment Change by Occupation and Replacement Demand, RQF5 Foundation degree;Nursing;Teaching, 2015-2035, Black Country (Continued)</v>
      </c>
      <c r="AI112" s="353"/>
      <c r="AJ112" s="353"/>
      <c r="AK112" s="353"/>
      <c r="AL112" s="353"/>
      <c r="AM112" s="353"/>
      <c r="AN112" s="353"/>
      <c r="AO112" s="353"/>
      <c r="AP112" s="353"/>
      <c r="AQ112" s="353"/>
      <c r="AS112" s="353" t="str">
        <f>CONCATENATE(AS$1," (Continued)")</f>
        <v>Basic Table 2.4  Employment Change by Occupation and Replacement Demand, RQF4 HE below degree level, 2015-2035, Black Country (Continued)</v>
      </c>
      <c r="AT112" s="353"/>
      <c r="AU112" s="353"/>
      <c r="AV112" s="353"/>
      <c r="AW112" s="353"/>
      <c r="AX112" s="353"/>
      <c r="AY112" s="353"/>
      <c r="AZ112" s="353"/>
      <c r="BA112" s="353"/>
      <c r="BB112" s="353"/>
      <c r="BD112" s="353" t="str">
        <f>CONCATENATE(BD$1," (Continued)")</f>
        <v>Basic Table 2.5  Employment Change by Occupation and Replacement Demand, RQF3 A level &amp; equivalent, 2015-2035, Black Country (Continued)</v>
      </c>
      <c r="BE112" s="353"/>
      <c r="BF112" s="353"/>
      <c r="BG112" s="353"/>
      <c r="BH112" s="353"/>
      <c r="BI112" s="353"/>
      <c r="BJ112" s="353"/>
      <c r="BK112" s="353"/>
      <c r="BL112" s="353"/>
      <c r="BM112" s="353"/>
      <c r="BO112" s="353" t="str">
        <f>CONCATENATE(BO$1," (Continued)")</f>
        <v>Basic Table 2.6  Employment Change by Occupation and Replacement Demand, RQF2 GCSE(A-C) &amp; equivalent, 2015-2035, Black Country (Continued)</v>
      </c>
      <c r="BP112" s="353"/>
      <c r="BQ112" s="353"/>
      <c r="BR112" s="353"/>
      <c r="BS112" s="353"/>
      <c r="BT112" s="353"/>
      <c r="BU112" s="353"/>
      <c r="BV112" s="353"/>
      <c r="BW112" s="353"/>
      <c r="BX112" s="353"/>
      <c r="BZ112" s="353" t="str">
        <f>CONCATENATE(BZ$1," (Continued)")</f>
        <v>Basic Table 2.7  Employment Change by Occupation and Replacement Demand, RQF1 GCSE(below grade C) &amp; equivalent, 2015-2035, Black Country (Continued)</v>
      </c>
      <c r="CA112" s="353"/>
      <c r="CB112" s="353"/>
      <c r="CC112" s="353"/>
      <c r="CD112" s="353"/>
      <c r="CE112" s="353"/>
      <c r="CF112" s="353"/>
      <c r="CG112" s="353"/>
      <c r="CH112" s="353"/>
      <c r="CI112" s="353"/>
      <c r="CK112" s="353" t="str">
        <f>CONCATENATE(CK$1," (Continued)")</f>
        <v>Basic Table 2.8  Employment Change by Occupation and Replacement Demand, No Qualification, 2015-2035, Black Country (Continued)</v>
      </c>
      <c r="CL112" s="353"/>
      <c r="CM112" s="353"/>
      <c r="CN112" s="353"/>
      <c r="CO112" s="353"/>
      <c r="CP112" s="353"/>
      <c r="CQ112" s="353"/>
      <c r="CR112" s="353"/>
      <c r="CS112" s="353"/>
      <c r="CT112" s="353"/>
    </row>
    <row r="114" spans="1:94">
      <c r="F114" s="16" t="s">
        <v>112</v>
      </c>
      <c r="Q114" s="16" t="s">
        <v>112</v>
      </c>
      <c r="AB114" s="16" t="s">
        <v>112</v>
      </c>
      <c r="AM114" s="16" t="s">
        <v>112</v>
      </c>
      <c r="AX114" s="16" t="s">
        <v>112</v>
      </c>
      <c r="BI114" s="16" t="s">
        <v>112</v>
      </c>
      <c r="BT114" s="16" t="s">
        <v>112</v>
      </c>
      <c r="CE114" s="16" t="s">
        <v>112</v>
      </c>
      <c r="CP114" s="16" t="s">
        <v>112</v>
      </c>
    </row>
    <row r="115" spans="1:94">
      <c r="A115" s="29"/>
      <c r="B115" s="29"/>
      <c r="C115" s="29"/>
      <c r="D115" s="29"/>
      <c r="E115" s="29"/>
      <c r="F115" s="29"/>
      <c r="L115" s="29"/>
      <c r="M115" s="29"/>
      <c r="N115" s="29"/>
      <c r="O115" s="29"/>
      <c r="P115" s="29"/>
      <c r="Q115" s="29"/>
      <c r="W115" s="29"/>
      <c r="X115" s="29"/>
      <c r="Y115" s="29"/>
      <c r="Z115" s="29"/>
      <c r="AA115" s="29"/>
      <c r="AB115" s="29"/>
      <c r="AH115" s="29"/>
      <c r="AI115" s="29"/>
      <c r="AJ115" s="29"/>
      <c r="AK115" s="29"/>
      <c r="AL115" s="29"/>
      <c r="AM115" s="29"/>
      <c r="AS115" s="29"/>
      <c r="AT115" s="29"/>
      <c r="AU115" s="29"/>
      <c r="AV115" s="29"/>
      <c r="AW115" s="29"/>
      <c r="AX115" s="29"/>
      <c r="BD115" s="29"/>
      <c r="BE115" s="29"/>
      <c r="BF115" s="29"/>
      <c r="BG115" s="29"/>
      <c r="BH115" s="29"/>
      <c r="BI115" s="29"/>
      <c r="BO115" s="29"/>
      <c r="BP115" s="29"/>
      <c r="BQ115" s="29"/>
      <c r="BR115" s="29"/>
      <c r="BS115" s="29"/>
      <c r="BT115" s="29"/>
      <c r="BZ115" s="29"/>
      <c r="CA115" s="29"/>
      <c r="CB115" s="29"/>
      <c r="CC115" s="29"/>
      <c r="CD115" s="29"/>
      <c r="CE115" s="29"/>
      <c r="CK115" s="29"/>
      <c r="CL115" s="29"/>
      <c r="CM115" s="29"/>
      <c r="CN115" s="29"/>
      <c r="CO115" s="29"/>
      <c r="CP115" s="29"/>
    </row>
    <row r="117" spans="1:94">
      <c r="A117" s="32" t="s">
        <v>118</v>
      </c>
      <c r="B117" s="52" t="str">
        <f>CONCATENATE(B$6,"-",C$6)</f>
        <v>2015-2019</v>
      </c>
      <c r="C117" s="52" t="str">
        <f>CONCATENATE(C$6,"-",D$6)</f>
        <v>2019-2020</v>
      </c>
      <c r="D117" s="52" t="str">
        <f>CONCATENATE(D$6,"-",E$6)</f>
        <v>2020-2025</v>
      </c>
      <c r="E117" s="52" t="str">
        <f>CONCATENATE(E$6,"-",F$6)</f>
        <v>2025-2035</v>
      </c>
      <c r="F117" s="52" t="str">
        <f>CONCATENATE(D$6,"-",F$6)</f>
        <v>2020-2035</v>
      </c>
      <c r="L117" s="32" t="s">
        <v>118</v>
      </c>
      <c r="M117" s="52" t="str">
        <f>CONCATENATE(M$6,"-",N$6)</f>
        <v>2015-2019</v>
      </c>
      <c r="N117" s="52" t="str">
        <f>CONCATENATE(N$6,"-",O$6)</f>
        <v>2019-2020</v>
      </c>
      <c r="O117" s="52" t="str">
        <f>CONCATENATE(O$6,"-",P$6)</f>
        <v>2020-2025</v>
      </c>
      <c r="P117" s="52" t="str">
        <f>CONCATENATE(P$6,"-",Q$6)</f>
        <v>2025-2035</v>
      </c>
      <c r="Q117" s="52" t="str">
        <f>CONCATENATE(O$6,"-",Q$6)</f>
        <v>2020-2035</v>
      </c>
      <c r="W117" s="32" t="s">
        <v>118</v>
      </c>
      <c r="X117" s="52" t="str">
        <f>CONCATENATE(X$6,"-",Y$6)</f>
        <v>2015-2019</v>
      </c>
      <c r="Y117" s="52" t="str">
        <f>CONCATENATE(Y$6,"-",Z$6)</f>
        <v>2019-2020</v>
      </c>
      <c r="Z117" s="52" t="str">
        <f>CONCATENATE(Z$6,"-",AA$6)</f>
        <v>2020-2025</v>
      </c>
      <c r="AA117" s="52" t="str">
        <f>CONCATENATE(AA$6,"-",AB$6)</f>
        <v>2025-2035</v>
      </c>
      <c r="AB117" s="52" t="str">
        <f>CONCATENATE(Z$6,"-",AB$6)</f>
        <v>2020-2035</v>
      </c>
      <c r="AH117" s="32" t="s">
        <v>118</v>
      </c>
      <c r="AI117" s="52" t="str">
        <f>CONCATENATE(AI$6,"-",AJ$6)</f>
        <v>2015-2019</v>
      </c>
      <c r="AJ117" s="52" t="str">
        <f>CONCATENATE(AJ$6,"-",AK$6)</f>
        <v>2019-2020</v>
      </c>
      <c r="AK117" s="52" t="str">
        <f>CONCATENATE(AK$6,"-",AL$6)</f>
        <v>2020-2025</v>
      </c>
      <c r="AL117" s="52" t="str">
        <f>CONCATENATE(AL$6,"-",AM$6)</f>
        <v>2025-2035</v>
      </c>
      <c r="AM117" s="52" t="str">
        <f>CONCATENATE(AK$6,"-",AM$6)</f>
        <v>2020-2035</v>
      </c>
      <c r="AS117" s="32" t="s">
        <v>118</v>
      </c>
      <c r="AT117" s="52" t="str">
        <f>CONCATENATE(AT$6,"-",AU$6)</f>
        <v>2015-2019</v>
      </c>
      <c r="AU117" s="52" t="str">
        <f>CONCATENATE(AU$6,"-",AV$6)</f>
        <v>2019-2020</v>
      </c>
      <c r="AV117" s="52" t="str">
        <f>CONCATENATE(AV$6,"-",AW$6)</f>
        <v>2020-2025</v>
      </c>
      <c r="AW117" s="52" t="str">
        <f>CONCATENATE(AW$6,"-",AX$6)</f>
        <v>2025-2035</v>
      </c>
      <c r="AX117" s="52" t="str">
        <f>CONCATENATE(AV$6,"-",AX$6)</f>
        <v>2020-2035</v>
      </c>
      <c r="BD117" s="32" t="s">
        <v>118</v>
      </c>
      <c r="BE117" s="52" t="str">
        <f>CONCATENATE(BE$6,"-",BF$6)</f>
        <v>2015-2019</v>
      </c>
      <c r="BF117" s="52" t="str">
        <f>CONCATENATE(BF$6,"-",BG$6)</f>
        <v>2019-2020</v>
      </c>
      <c r="BG117" s="52" t="str">
        <f>CONCATENATE(BG$6,"-",BH$6)</f>
        <v>2020-2025</v>
      </c>
      <c r="BH117" s="52" t="str">
        <f>CONCATENATE(BH$6,"-",BI$6)</f>
        <v>2025-2035</v>
      </c>
      <c r="BI117" s="52" t="str">
        <f>CONCATENATE(BG$6,"-",BI$6)</f>
        <v>2020-2035</v>
      </c>
      <c r="BO117" s="32" t="s">
        <v>118</v>
      </c>
      <c r="BP117" s="52" t="str">
        <f>CONCATENATE(BP$6,"-",BQ$6)</f>
        <v>2015-2019</v>
      </c>
      <c r="BQ117" s="52" t="str">
        <f>CONCATENATE(BQ$6,"-",BR$6)</f>
        <v>2019-2020</v>
      </c>
      <c r="BR117" s="52" t="str">
        <f>CONCATENATE(BR$6,"-",BS$6)</f>
        <v>2020-2025</v>
      </c>
      <c r="BS117" s="52" t="str">
        <f>CONCATENATE(BS$6,"-",BT$6)</f>
        <v>2025-2035</v>
      </c>
      <c r="BT117" s="52" t="str">
        <f>CONCATENATE(BR$6,"-",BT$6)</f>
        <v>2020-2035</v>
      </c>
      <c r="BZ117" s="32" t="s">
        <v>118</v>
      </c>
      <c r="CA117" s="52" t="str">
        <f>CONCATENATE(CA$6,"-",CB$6)</f>
        <v>2015-2019</v>
      </c>
      <c r="CB117" s="52" t="str">
        <f>CONCATENATE(CB$6,"-",CC$6)</f>
        <v>2019-2020</v>
      </c>
      <c r="CC117" s="52" t="str">
        <f>CONCATENATE(CC$6,"-",CD$6)</f>
        <v>2020-2025</v>
      </c>
      <c r="CD117" s="52" t="str">
        <f>CONCATENATE(CD$6,"-",CE$6)</f>
        <v>2025-2035</v>
      </c>
      <c r="CE117" s="52" t="str">
        <f>CONCATENATE(CC$6,"-",CE$6)</f>
        <v>2020-2035</v>
      </c>
      <c r="CK117" s="32" t="s">
        <v>118</v>
      </c>
      <c r="CL117" s="52" t="str">
        <f>CONCATENATE(CL$6,"-",CM$6)</f>
        <v>2015-2019</v>
      </c>
      <c r="CM117" s="52" t="str">
        <f>CONCATENATE(CM$6,"-",CN$6)</f>
        <v>2019-2020</v>
      </c>
      <c r="CN117" s="52" t="str">
        <f>CONCATENATE(CN$6,"-",CO$6)</f>
        <v>2020-2025</v>
      </c>
      <c r="CO117" s="52" t="str">
        <f>CONCATENATE(CO$6,"-",CP$6)</f>
        <v>2025-2035</v>
      </c>
      <c r="CP117" s="52" t="str">
        <f>CONCATENATE(CN$6,"-",CP$6)</f>
        <v>2020-2035</v>
      </c>
    </row>
    <row r="118" spans="1:94">
      <c r="B118" s="19"/>
      <c r="C118" s="19"/>
      <c r="D118" s="19"/>
      <c r="E118" s="19"/>
      <c r="F118" s="19"/>
      <c r="M118" s="19"/>
      <c r="N118" s="19"/>
      <c r="O118" s="19"/>
      <c r="P118" s="19"/>
      <c r="Q118" s="19"/>
      <c r="X118" s="19"/>
      <c r="Y118" s="19"/>
      <c r="Z118" s="19"/>
      <c r="AA118" s="19"/>
      <c r="AB118" s="19"/>
      <c r="AI118" s="19"/>
      <c r="AJ118" s="19"/>
      <c r="AK118" s="19"/>
      <c r="AL118" s="19"/>
      <c r="AM118" s="19"/>
      <c r="AT118" s="19"/>
      <c r="AU118" s="19"/>
      <c r="AV118" s="19"/>
      <c r="AW118" s="19"/>
      <c r="AX118" s="19"/>
      <c r="BE118" s="19"/>
      <c r="BF118" s="19"/>
      <c r="BG118" s="19"/>
      <c r="BH118" s="19"/>
      <c r="BI118" s="19"/>
      <c r="BP118" s="19"/>
      <c r="BQ118" s="19"/>
      <c r="BR118" s="19"/>
      <c r="BS118" s="19"/>
      <c r="BT118" s="19"/>
      <c r="CA118" s="19"/>
      <c r="CB118" s="19"/>
      <c r="CC118" s="19"/>
      <c r="CD118" s="19"/>
      <c r="CE118" s="19"/>
      <c r="CL118" s="19"/>
      <c r="CM118" s="19"/>
      <c r="CN118" s="19"/>
      <c r="CO118" s="19"/>
      <c r="CP118" s="19"/>
    </row>
    <row r="119" spans="1:94">
      <c r="A119" t="str">
        <f t="shared" ref="A119:A144" si="298">A8</f>
        <v>11 Corporate managers and directors</v>
      </c>
      <c r="B119" s="225">
        <f t="shared" ref="B119:E144" si="299">C8-B8</f>
        <v>0.10557979951347796</v>
      </c>
      <c r="C119" s="225">
        <f t="shared" si="299"/>
        <v>-3.2624716284110733E-2</v>
      </c>
      <c r="D119" s="225">
        <f t="shared" si="299"/>
        <v>6.6793132176247161E-2</v>
      </c>
      <c r="E119" s="225">
        <f t="shared" si="299"/>
        <v>0.2563920262151973</v>
      </c>
      <c r="F119" s="225">
        <f t="shared" ref="F119:F144" si="300">F8-D8</f>
        <v>0.32318515839144446</v>
      </c>
      <c r="L119" t="str">
        <f>A119</f>
        <v>11 Corporate managers and directors</v>
      </c>
      <c r="M119" s="225">
        <f t="shared" ref="M119:P144" si="301">N8-M8</f>
        <v>1.2802283487220114</v>
      </c>
      <c r="N119" s="225">
        <f t="shared" si="301"/>
        <v>-0.13671616540668596</v>
      </c>
      <c r="O119" s="225">
        <f t="shared" si="301"/>
        <v>0.48796280981196993</v>
      </c>
      <c r="P119" s="225">
        <f t="shared" si="301"/>
        <v>2.1041546942409211</v>
      </c>
      <c r="Q119" s="225">
        <f t="shared" ref="Q119:Q144" si="302">Q8-O8</f>
        <v>2.592117504052891</v>
      </c>
      <c r="W119" t="str">
        <f>A119</f>
        <v>11 Corporate managers and directors</v>
      </c>
      <c r="X119" s="225">
        <f t="shared" ref="X119:AA144" si="303">Y8-X8</f>
        <v>0.43905030354186003</v>
      </c>
      <c r="Y119" s="225">
        <f t="shared" si="303"/>
        <v>0.64164382902131223</v>
      </c>
      <c r="Z119" s="225">
        <f t="shared" si="303"/>
        <v>-0.64550834597499929</v>
      </c>
      <c r="AA119" s="225">
        <f t="shared" si="303"/>
        <v>1.1429914534006578</v>
      </c>
      <c r="AB119" s="225">
        <f t="shared" ref="AB119:AB144" si="304">AB8-Z8</f>
        <v>0.49748310742565849</v>
      </c>
      <c r="AH119" t="str">
        <f>L119</f>
        <v>11 Corporate managers and directors</v>
      </c>
      <c r="AI119" s="225">
        <f t="shared" ref="AI119:AL144" si="305">AJ8-AI8</f>
        <v>0.10970204997746791</v>
      </c>
      <c r="AJ119" s="225">
        <f t="shared" si="305"/>
        <v>0.18780083949024995</v>
      </c>
      <c r="AK119" s="225">
        <f t="shared" si="305"/>
        <v>-0.21035800020705508</v>
      </c>
      <c r="AL119" s="225">
        <f t="shared" si="305"/>
        <v>0.15834480542508356</v>
      </c>
      <c r="AM119" s="225">
        <f t="shared" ref="AM119:AM144" si="306">AM8-AK8</f>
        <v>-5.2013194781971528E-2</v>
      </c>
      <c r="AS119" t="str">
        <f>W119</f>
        <v>11 Corporate managers and directors</v>
      </c>
      <c r="AT119" s="225">
        <f t="shared" ref="AT119:AW144" si="307">AU8-AT8</f>
        <v>-7.294321801373016E-3</v>
      </c>
      <c r="AU119" s="225">
        <f t="shared" si="307"/>
        <v>0.15925263573077286</v>
      </c>
      <c r="AV119" s="225">
        <f t="shared" si="307"/>
        <v>-0.38615881495026949</v>
      </c>
      <c r="AW119" s="225">
        <f t="shared" si="307"/>
        <v>0.13982583048286434</v>
      </c>
      <c r="AX119" s="225">
        <f t="shared" ref="AX119:AX144" si="308">AX8-AV8</f>
        <v>-0.24633298446740515</v>
      </c>
      <c r="BD119" t="str">
        <f>AH119</f>
        <v>11 Corporate managers and directors</v>
      </c>
      <c r="BE119" s="225">
        <f t="shared" ref="BE119:BH144" si="309">BF8-BE8</f>
        <v>1.1417011903533698</v>
      </c>
      <c r="BF119" s="225">
        <f t="shared" si="309"/>
        <v>0.16951130756965327</v>
      </c>
      <c r="BG119" s="225">
        <f t="shared" si="309"/>
        <v>-0.71334179444956369</v>
      </c>
      <c r="BH119" s="225">
        <f t="shared" si="309"/>
        <v>0.45910106840858678</v>
      </c>
      <c r="BI119" s="225">
        <f t="shared" ref="BI119:BI144" si="310">BI8-BG8</f>
        <v>-0.25424072604097692</v>
      </c>
      <c r="BO119" t="str">
        <f>AS119</f>
        <v>11 Corporate managers and directors</v>
      </c>
      <c r="BP119" s="225">
        <f t="shared" ref="BP119:BS144" si="311">BQ8-BP8</f>
        <v>0.58639228795888521</v>
      </c>
      <c r="BQ119" s="225">
        <f t="shared" si="311"/>
        <v>-0.35742155186254099</v>
      </c>
      <c r="BR119" s="225">
        <f t="shared" si="311"/>
        <v>-0.6389958804542113</v>
      </c>
      <c r="BS119" s="225">
        <f t="shared" si="311"/>
        <v>-0.5509244621533278</v>
      </c>
      <c r="BT119" s="225">
        <f t="shared" ref="BT119:BT144" si="312">BT8-BR8</f>
        <v>-1.1899203426075391</v>
      </c>
      <c r="BZ119" t="str">
        <f>BD119</f>
        <v>11 Corporate managers and directors</v>
      </c>
      <c r="CA119" s="278">
        <f t="shared" ref="CA119:CD144" si="313">CB8-CA8</f>
        <v>0.11340560302642011</v>
      </c>
      <c r="CB119" s="278">
        <f t="shared" si="313"/>
        <v>0.14807322874808637</v>
      </c>
      <c r="CC119" s="278">
        <f t="shared" si="313"/>
        <v>-0.91896667602769311</v>
      </c>
      <c r="CD119" s="278">
        <f t="shared" si="313"/>
        <v>-0.83004599628010522</v>
      </c>
      <c r="CE119" s="278">
        <f t="shared" ref="CE119:CE144" si="314">CE8-CC8</f>
        <v>-1.7490126723077983</v>
      </c>
      <c r="CK119" t="str">
        <f>BO119</f>
        <v>11 Corporate managers and directors</v>
      </c>
      <c r="CL119" s="278">
        <f t="shared" ref="CL119:CO144" si="315">CM8-CL8</f>
        <v>2.1230087474215953E-2</v>
      </c>
      <c r="CM119" s="278">
        <f t="shared" si="315"/>
        <v>0.10704896226386373</v>
      </c>
      <c r="CN119" s="278">
        <f t="shared" si="315"/>
        <v>-0.42654517753628751</v>
      </c>
      <c r="CO119" s="278">
        <f t="shared" si="315"/>
        <v>-0.12709751470664454</v>
      </c>
      <c r="CP119" s="278">
        <f t="shared" ref="CP119:CP144" si="316">CP8-CN8</f>
        <v>-0.55364269224293206</v>
      </c>
    </row>
    <row r="120" spans="1:94">
      <c r="A120" t="str">
        <f t="shared" si="298"/>
        <v>12 Other managers and proprietors</v>
      </c>
      <c r="B120" s="225">
        <f t="shared" si="299"/>
        <v>3.553181071269132E-2</v>
      </c>
      <c r="C120" s="225">
        <f t="shared" si="299"/>
        <v>-1.5767081704949254E-2</v>
      </c>
      <c r="D120" s="225">
        <f t="shared" si="299"/>
        <v>4.5905963356284801E-2</v>
      </c>
      <c r="E120" s="225">
        <f t="shared" si="299"/>
        <v>0.12044701701131311</v>
      </c>
      <c r="F120" s="225">
        <f t="shared" si="300"/>
        <v>0.16635298036759791</v>
      </c>
      <c r="L120" t="str">
        <f t="shared" ref="L120:L143" si="317">A120</f>
        <v>12 Other managers and proprietors</v>
      </c>
      <c r="M120" s="225">
        <f t="shared" si="301"/>
        <v>0.33191406098452847</v>
      </c>
      <c r="N120" s="225">
        <f t="shared" si="301"/>
        <v>2.5256401542077311E-2</v>
      </c>
      <c r="O120" s="225">
        <f t="shared" si="301"/>
        <v>0.37220007181774362</v>
      </c>
      <c r="P120" s="225">
        <f t="shared" si="301"/>
        <v>1.1069317619917447</v>
      </c>
      <c r="Q120" s="225">
        <f t="shared" si="302"/>
        <v>1.4791318338094883</v>
      </c>
      <c r="W120" t="str">
        <f t="shared" ref="W120:W143" si="318">A120</f>
        <v>12 Other managers and proprietors</v>
      </c>
      <c r="X120" s="225">
        <f t="shared" si="303"/>
        <v>-8.138945884281501E-2</v>
      </c>
      <c r="Y120" s="225">
        <f t="shared" si="303"/>
        <v>0.36638681779579052</v>
      </c>
      <c r="Z120" s="225">
        <f t="shared" si="303"/>
        <v>0.20422844348186198</v>
      </c>
      <c r="AA120" s="225">
        <f t="shared" si="303"/>
        <v>0.67556340057832509</v>
      </c>
      <c r="AB120" s="225">
        <f t="shared" si="304"/>
        <v>0.87979184406018707</v>
      </c>
      <c r="AH120" t="str">
        <f t="shared" ref="AH120:AH143" si="319">L120</f>
        <v>12 Other managers and proprietors</v>
      </c>
      <c r="AI120" s="225">
        <f t="shared" si="305"/>
        <v>-2.1382896735918755E-2</v>
      </c>
      <c r="AJ120" s="225">
        <f t="shared" si="305"/>
        <v>0.13403748011885674</v>
      </c>
      <c r="AK120" s="225">
        <f t="shared" si="305"/>
        <v>-1.5676964660164661E-2</v>
      </c>
      <c r="AL120" s="225">
        <f t="shared" si="305"/>
        <v>0.17921666892146648</v>
      </c>
      <c r="AM120" s="225">
        <f t="shared" si="306"/>
        <v>0.16353970426130182</v>
      </c>
      <c r="AS120" t="str">
        <f t="shared" ref="AS120:AS143" si="320">W120</f>
        <v>12 Other managers and proprietors</v>
      </c>
      <c r="AT120" s="225">
        <f t="shared" si="307"/>
        <v>-4.7451996736132318E-2</v>
      </c>
      <c r="AU120" s="225">
        <f t="shared" si="307"/>
        <v>0.11149528328660863</v>
      </c>
      <c r="AV120" s="225">
        <f t="shared" si="307"/>
        <v>5.6652340194442097E-2</v>
      </c>
      <c r="AW120" s="225">
        <f t="shared" si="307"/>
        <v>0.16782122135509436</v>
      </c>
      <c r="AX120" s="225">
        <f t="shared" si="308"/>
        <v>0.22447356154953646</v>
      </c>
      <c r="BD120" t="str">
        <f t="shared" ref="BD120:BD143" si="321">AH120</f>
        <v>12 Other managers and proprietors</v>
      </c>
      <c r="BE120" s="225">
        <f t="shared" si="309"/>
        <v>7.4187258460011396E-2</v>
      </c>
      <c r="BF120" s="225">
        <f t="shared" si="309"/>
        <v>-3.0043261599859594E-2</v>
      </c>
      <c r="BG120" s="225">
        <f t="shared" si="309"/>
        <v>1.9628387746922993E-2</v>
      </c>
      <c r="BH120" s="225">
        <f t="shared" si="309"/>
        <v>0.13718868873541634</v>
      </c>
      <c r="BI120" s="225">
        <f t="shared" si="310"/>
        <v>0.15681707648233933</v>
      </c>
      <c r="BO120" t="str">
        <f t="shared" ref="BO120:BO143" si="322">AS120</f>
        <v>12 Other managers and proprietors</v>
      </c>
      <c r="BP120" s="225">
        <f t="shared" si="311"/>
        <v>6.7352811738250029E-2</v>
      </c>
      <c r="BQ120" s="225">
        <f t="shared" si="311"/>
        <v>-4.9120531293735059E-2</v>
      </c>
      <c r="BR120" s="225">
        <f t="shared" si="311"/>
        <v>0.12897700847855065</v>
      </c>
      <c r="BS120" s="225">
        <f t="shared" si="311"/>
        <v>-0.15813494791326521</v>
      </c>
      <c r="BT120" s="225">
        <f t="shared" si="312"/>
        <v>-2.9157939434714564E-2</v>
      </c>
      <c r="BZ120" t="str">
        <f t="shared" ref="BZ120:BZ143" si="323">BD120</f>
        <v>12 Other managers and proprietors</v>
      </c>
      <c r="CA120" s="278">
        <f t="shared" si="313"/>
        <v>-0.10271499495017267</v>
      </c>
      <c r="CB120" s="278">
        <f t="shared" si="313"/>
        <v>8.9287772188975101E-3</v>
      </c>
      <c r="CC120" s="278">
        <f t="shared" si="313"/>
        <v>-0.17974532166972645</v>
      </c>
      <c r="CD120" s="278">
        <f t="shared" si="313"/>
        <v>-0.41069577085327813</v>
      </c>
      <c r="CE120" s="278">
        <f t="shared" si="314"/>
        <v>-0.59044109252300458</v>
      </c>
      <c r="CK120" t="str">
        <f t="shared" ref="CK120:CK143" si="324">BO120</f>
        <v>12 Other managers and proprietors</v>
      </c>
      <c r="CL120" s="278">
        <f t="shared" si="315"/>
        <v>-9.3614549819893478E-2</v>
      </c>
      <c r="CM120" s="278">
        <f t="shared" si="315"/>
        <v>1.7477228164330949E-2</v>
      </c>
      <c r="CN120" s="278">
        <f t="shared" si="315"/>
        <v>-0.21059442256662164</v>
      </c>
      <c r="CO120" s="278">
        <f t="shared" si="315"/>
        <v>-0.18172490926917018</v>
      </c>
      <c r="CP120" s="278">
        <f t="shared" si="316"/>
        <v>-0.39231933183579182</v>
      </c>
    </row>
    <row r="121" spans="1:94">
      <c r="A121" t="str">
        <f t="shared" si="298"/>
        <v>21 Science, research, engineering and technology professionals</v>
      </c>
      <c r="B121" s="225">
        <f t="shared" si="299"/>
        <v>0.32289951459360022</v>
      </c>
      <c r="C121" s="225">
        <f t="shared" si="299"/>
        <v>-0.1351934335188425</v>
      </c>
      <c r="D121" s="225">
        <f t="shared" si="299"/>
        <v>0.54084359675754712</v>
      </c>
      <c r="E121" s="225">
        <f t="shared" si="299"/>
        <v>0.79367194125538987</v>
      </c>
      <c r="F121" s="225">
        <f t="shared" si="300"/>
        <v>1.334515538012937</v>
      </c>
      <c r="L121" t="str">
        <f t="shared" si="317"/>
        <v>21 Science, research, engineering and technology professionals</v>
      </c>
      <c r="M121" s="225">
        <f t="shared" si="301"/>
        <v>1.219121247644225</v>
      </c>
      <c r="N121" s="225">
        <f t="shared" si="301"/>
        <v>-0.26024874831824363</v>
      </c>
      <c r="O121" s="225">
        <f t="shared" si="301"/>
        <v>2.2844552669602081</v>
      </c>
      <c r="P121" s="225">
        <f t="shared" si="301"/>
        <v>3.17600566545073</v>
      </c>
      <c r="Q121" s="225">
        <f t="shared" si="302"/>
        <v>5.4604609324109381</v>
      </c>
      <c r="W121" t="str">
        <f t="shared" si="318"/>
        <v>21 Science, research, engineering and technology professionals</v>
      </c>
      <c r="X121" s="225">
        <f t="shared" si="303"/>
        <v>-0.39603624408780735</v>
      </c>
      <c r="Y121" s="225">
        <f t="shared" si="303"/>
        <v>0.71439303841775992</v>
      </c>
      <c r="Z121" s="225">
        <f t="shared" si="303"/>
        <v>1.3559673237361078</v>
      </c>
      <c r="AA121" s="225">
        <f t="shared" si="303"/>
        <v>0.67142522405991123</v>
      </c>
      <c r="AB121" s="225">
        <f t="shared" si="304"/>
        <v>2.0273925477960191</v>
      </c>
      <c r="AH121" t="str">
        <f t="shared" si="319"/>
        <v>21 Science, research, engineering and technology professionals</v>
      </c>
      <c r="AI121" s="225">
        <f t="shared" si="305"/>
        <v>-7.9275923023756079E-2</v>
      </c>
      <c r="AJ121" s="225">
        <f t="shared" si="305"/>
        <v>0.11283182932085201</v>
      </c>
      <c r="AK121" s="225">
        <f t="shared" si="305"/>
        <v>0.1227356970560638</v>
      </c>
      <c r="AL121" s="225">
        <f t="shared" si="305"/>
        <v>8.4947984445489233E-2</v>
      </c>
      <c r="AM121" s="225">
        <f t="shared" si="306"/>
        <v>0.20768368150155303</v>
      </c>
      <c r="AS121" t="str">
        <f t="shared" si="320"/>
        <v>21 Science, research, engineering and technology professionals</v>
      </c>
      <c r="AT121" s="225">
        <f t="shared" si="307"/>
        <v>-0.1595985853696571</v>
      </c>
      <c r="AU121" s="225">
        <f t="shared" si="307"/>
        <v>0.21171390228049569</v>
      </c>
      <c r="AV121" s="225">
        <f t="shared" si="307"/>
        <v>0.18124322938157533</v>
      </c>
      <c r="AW121" s="225">
        <f t="shared" si="307"/>
        <v>-6.1722050215502477E-3</v>
      </c>
      <c r="AX121" s="225">
        <f t="shared" si="308"/>
        <v>0.17507102436002508</v>
      </c>
      <c r="BD121" t="str">
        <f t="shared" si="321"/>
        <v>21 Science, research, engineering and technology professionals</v>
      </c>
      <c r="BE121" s="225">
        <f t="shared" si="309"/>
        <v>0.54894878717084694</v>
      </c>
      <c r="BF121" s="225">
        <f t="shared" si="309"/>
        <v>0.26497855293526795</v>
      </c>
      <c r="BG121" s="225">
        <f t="shared" si="309"/>
        <v>0.68609092592634546</v>
      </c>
      <c r="BH121" s="225">
        <f t="shared" si="309"/>
        <v>0.2899290136855095</v>
      </c>
      <c r="BI121" s="225">
        <f t="shared" si="310"/>
        <v>0.97601993961185496</v>
      </c>
      <c r="BO121" t="str">
        <f t="shared" si="322"/>
        <v>21 Science, research, engineering and technology professionals</v>
      </c>
      <c r="BP121" s="225">
        <f t="shared" si="311"/>
        <v>0.30654771669605996</v>
      </c>
      <c r="BQ121" s="225">
        <f t="shared" si="311"/>
        <v>1.914390255004772E-2</v>
      </c>
      <c r="BR121" s="225">
        <f t="shared" si="311"/>
        <v>0.52068491594812416</v>
      </c>
      <c r="BS121" s="225">
        <f t="shared" si="311"/>
        <v>-0.28341486310052</v>
      </c>
      <c r="BT121" s="225">
        <f t="shared" si="312"/>
        <v>0.23727005284760416</v>
      </c>
      <c r="BZ121" t="str">
        <f t="shared" si="323"/>
        <v>21 Science, research, engineering and technology professionals</v>
      </c>
      <c r="CA121" s="278">
        <f t="shared" si="313"/>
        <v>3.0793042960671313E-2</v>
      </c>
      <c r="CB121" s="278">
        <f t="shared" si="313"/>
        <v>0.14131867712248924</v>
      </c>
      <c r="CC121" s="278">
        <f t="shared" si="313"/>
        <v>2.9760514046674347E-2</v>
      </c>
      <c r="CD121" s="278">
        <f t="shared" si="313"/>
        <v>-0.49866215229078525</v>
      </c>
      <c r="CE121" s="278">
        <f t="shared" si="314"/>
        <v>-0.46890163824411091</v>
      </c>
      <c r="CK121" t="str">
        <f t="shared" si="324"/>
        <v>21 Science, research, engineering and technology professionals</v>
      </c>
      <c r="CL121" s="278">
        <f t="shared" si="315"/>
        <v>3.6475598587038138E-2</v>
      </c>
      <c r="CM121" s="278">
        <f t="shared" si="315"/>
        <v>8.2772049736257736E-2</v>
      </c>
      <c r="CN121" s="278">
        <f t="shared" si="315"/>
        <v>-6.4581092954052233E-2</v>
      </c>
      <c r="CO121" s="278">
        <f t="shared" si="315"/>
        <v>-9.8935336827382259E-2</v>
      </c>
      <c r="CP121" s="278">
        <f t="shared" si="316"/>
        <v>-0.16351642978143449</v>
      </c>
    </row>
    <row r="122" spans="1:94">
      <c r="A122" t="str">
        <f t="shared" si="298"/>
        <v>22 Health professionals</v>
      </c>
      <c r="B122" s="225">
        <f t="shared" si="299"/>
        <v>0.74742531073175078</v>
      </c>
      <c r="C122" s="225">
        <f t="shared" si="299"/>
        <v>-4.6201065124353846E-2</v>
      </c>
      <c r="D122" s="225">
        <f t="shared" si="299"/>
        <v>0.54677201632761463</v>
      </c>
      <c r="E122" s="225">
        <f t="shared" si="299"/>
        <v>1.1207471480957354</v>
      </c>
      <c r="F122" s="225">
        <f t="shared" si="300"/>
        <v>1.66751916442335</v>
      </c>
      <c r="L122" t="str">
        <f t="shared" si="317"/>
        <v>22 Health professionals</v>
      </c>
      <c r="M122" s="225">
        <f t="shared" si="301"/>
        <v>2.2137710826727224</v>
      </c>
      <c r="N122" s="225">
        <f t="shared" si="301"/>
        <v>-5.6501072042320466E-2</v>
      </c>
      <c r="O122" s="225">
        <f t="shared" si="301"/>
        <v>1.0104296195957607</v>
      </c>
      <c r="P122" s="225">
        <f t="shared" si="301"/>
        <v>2.670235429414169</v>
      </c>
      <c r="Q122" s="225">
        <f t="shared" si="302"/>
        <v>3.6806650490099297</v>
      </c>
      <c r="W122" t="str">
        <f t="shared" si="318"/>
        <v>22 Health professionals</v>
      </c>
      <c r="X122" s="225">
        <f t="shared" si="303"/>
        <v>1.5625089699106489</v>
      </c>
      <c r="Y122" s="225">
        <f t="shared" si="303"/>
        <v>0.56654552512386935</v>
      </c>
      <c r="Z122" s="225">
        <f t="shared" si="303"/>
        <v>-0.13427725662346113</v>
      </c>
      <c r="AA122" s="225">
        <f t="shared" si="303"/>
        <v>0.32294627059064851</v>
      </c>
      <c r="AB122" s="225">
        <f t="shared" si="304"/>
        <v>0.18866901396718738</v>
      </c>
      <c r="AH122" t="str">
        <f t="shared" si="319"/>
        <v>22 Health professionals</v>
      </c>
      <c r="AI122" s="225">
        <f t="shared" si="305"/>
        <v>-0.62089566766684356</v>
      </c>
      <c r="AJ122" s="225">
        <f t="shared" si="305"/>
        <v>-7.6001689841989073E-2</v>
      </c>
      <c r="AK122" s="225">
        <f t="shared" si="305"/>
        <v>-1.5874362001514495</v>
      </c>
      <c r="AL122" s="225">
        <f t="shared" si="305"/>
        <v>-1.1351378795538289</v>
      </c>
      <c r="AM122" s="225">
        <f t="shared" si="306"/>
        <v>-2.7225740797052786</v>
      </c>
      <c r="AS122" t="str">
        <f t="shared" si="320"/>
        <v>22 Health professionals</v>
      </c>
      <c r="AT122" s="225">
        <f t="shared" si="307"/>
        <v>5.8121554567916345E-2</v>
      </c>
      <c r="AU122" s="225">
        <f t="shared" si="307"/>
        <v>7.851169175941175E-2</v>
      </c>
      <c r="AV122" s="225">
        <f t="shared" si="307"/>
        <v>-1.7946449906192097E-3</v>
      </c>
      <c r="AW122" s="225">
        <f t="shared" si="307"/>
        <v>4.2931462569045564E-2</v>
      </c>
      <c r="AX122" s="225">
        <f t="shared" si="308"/>
        <v>4.1136817578426355E-2</v>
      </c>
      <c r="BD122" t="str">
        <f t="shared" si="321"/>
        <v>22 Health professionals</v>
      </c>
      <c r="BE122" s="225">
        <f t="shared" si="309"/>
        <v>0.89074415952075947</v>
      </c>
      <c r="BF122" s="225">
        <f t="shared" si="309"/>
        <v>-0.26211284071076957</v>
      </c>
      <c r="BG122" s="225">
        <f t="shared" si="309"/>
        <v>9.4311420920781153E-2</v>
      </c>
      <c r="BH122" s="225">
        <f t="shared" si="309"/>
        <v>-0.16881541837943503</v>
      </c>
      <c r="BI122" s="225">
        <f t="shared" si="310"/>
        <v>-7.4503997458653881E-2</v>
      </c>
      <c r="BO122" t="str">
        <f t="shared" si="322"/>
        <v>22 Health professionals</v>
      </c>
      <c r="BP122" s="225">
        <f t="shared" si="311"/>
        <v>0.52281127169846409</v>
      </c>
      <c r="BQ122" s="225">
        <f t="shared" si="311"/>
        <v>-0.40567893278773948</v>
      </c>
      <c r="BR122" s="225">
        <f t="shared" si="311"/>
        <v>2.1111406636375563E-2</v>
      </c>
      <c r="BS122" s="225">
        <f t="shared" si="311"/>
        <v>-0.39349637586674757</v>
      </c>
      <c r="BT122" s="225">
        <f t="shared" si="312"/>
        <v>-0.37238496923037201</v>
      </c>
      <c r="BZ122" t="str">
        <f t="shared" si="323"/>
        <v>22 Health professionals</v>
      </c>
      <c r="CA122" s="278">
        <f t="shared" si="313"/>
        <v>0.23412535417423519</v>
      </c>
      <c r="CB122" s="278">
        <f t="shared" si="313"/>
        <v>-0.29538528665698149</v>
      </c>
      <c r="CC122" s="278">
        <f t="shared" si="313"/>
        <v>-0.17832558210758753</v>
      </c>
      <c r="CD122" s="278">
        <f t="shared" si="313"/>
        <v>-0.39351042317921509</v>
      </c>
      <c r="CE122" s="278">
        <f t="shared" si="314"/>
        <v>-0.57183600528680256</v>
      </c>
      <c r="CK122" t="str">
        <f t="shared" si="324"/>
        <v>22 Health professionals</v>
      </c>
      <c r="CL122" s="278">
        <f t="shared" si="315"/>
        <v>3.2418721693608127E-2</v>
      </c>
      <c r="CM122" s="278">
        <f t="shared" si="315"/>
        <v>6.6324803200210863E-2</v>
      </c>
      <c r="CN122" s="278">
        <f t="shared" si="315"/>
        <v>-0.11196015906849055</v>
      </c>
      <c r="CO122" s="278">
        <f t="shared" si="315"/>
        <v>-3.0411566430301851E-2</v>
      </c>
      <c r="CP122" s="278">
        <f t="shared" si="316"/>
        <v>-0.1423717254987924</v>
      </c>
    </row>
    <row r="123" spans="1:94">
      <c r="A123" t="str">
        <f t="shared" si="298"/>
        <v>23 Teaching and other educational professionals</v>
      </c>
      <c r="B123" s="225">
        <f t="shared" si="299"/>
        <v>0.38881403827347949</v>
      </c>
      <c r="C123" s="225">
        <f t="shared" si="299"/>
        <v>6.2879991962846438E-2</v>
      </c>
      <c r="D123" s="225">
        <f t="shared" si="299"/>
        <v>0.29549550345665465</v>
      </c>
      <c r="E123" s="225">
        <f t="shared" si="299"/>
        <v>0.58352743898257708</v>
      </c>
      <c r="F123" s="225">
        <f t="shared" si="300"/>
        <v>0.87902294243923174</v>
      </c>
      <c r="L123" t="str">
        <f t="shared" si="317"/>
        <v>23 Teaching and other educational professionals</v>
      </c>
      <c r="M123" s="225">
        <f t="shared" si="301"/>
        <v>2.6164978770313727</v>
      </c>
      <c r="N123" s="225">
        <f t="shared" si="301"/>
        <v>0.49632601972778367</v>
      </c>
      <c r="O123" s="225">
        <f t="shared" si="301"/>
        <v>1.5493631013465112</v>
      </c>
      <c r="P123" s="225">
        <f t="shared" si="301"/>
        <v>3.2639824434401188</v>
      </c>
      <c r="Q123" s="225">
        <f t="shared" si="302"/>
        <v>4.81334554478663</v>
      </c>
      <c r="W123" t="str">
        <f t="shared" si="318"/>
        <v>23 Teaching and other educational professionals</v>
      </c>
      <c r="X123" s="225">
        <f t="shared" si="303"/>
        <v>-1.2921325383295681</v>
      </c>
      <c r="Y123" s="225">
        <f t="shared" si="303"/>
        <v>0.62768412929722039</v>
      </c>
      <c r="Z123" s="225">
        <f t="shared" si="303"/>
        <v>-1.3208965895733975</v>
      </c>
      <c r="AA123" s="225">
        <f t="shared" si="303"/>
        <v>-1.283432809874947</v>
      </c>
      <c r="AB123" s="225">
        <f t="shared" si="304"/>
        <v>-2.6043293994483445</v>
      </c>
      <c r="AH123" t="str">
        <f t="shared" si="319"/>
        <v>23 Teaching and other educational professionals</v>
      </c>
      <c r="AI123" s="225">
        <f t="shared" si="305"/>
        <v>-0.45467886905371829</v>
      </c>
      <c r="AJ123" s="225">
        <f t="shared" si="305"/>
        <v>-8.0411933848039685E-3</v>
      </c>
      <c r="AK123" s="225">
        <f t="shared" si="305"/>
        <v>-0.20408321366177076</v>
      </c>
      <c r="AL123" s="225">
        <f t="shared" si="305"/>
        <v>-2.7611687299317067E-3</v>
      </c>
      <c r="AM123" s="225">
        <f t="shared" si="306"/>
        <v>-0.20684438239170247</v>
      </c>
      <c r="AS123" t="str">
        <f t="shared" si="320"/>
        <v>23 Teaching and other educational professionals</v>
      </c>
      <c r="AT123" s="225">
        <f t="shared" si="307"/>
        <v>-4.508421268676957E-2</v>
      </c>
      <c r="AU123" s="225">
        <f t="shared" si="307"/>
        <v>2.5225336824249017E-2</v>
      </c>
      <c r="AV123" s="225">
        <f t="shared" si="307"/>
        <v>-4.9433649976776461E-2</v>
      </c>
      <c r="AW123" s="225">
        <f t="shared" si="307"/>
        <v>-2.8707224904944054E-2</v>
      </c>
      <c r="AX123" s="225">
        <f t="shared" si="308"/>
        <v>-7.8140874881720515E-2</v>
      </c>
      <c r="BD123" t="str">
        <f t="shared" si="321"/>
        <v>23 Teaching and other educational professionals</v>
      </c>
      <c r="BE123" s="225">
        <f t="shared" si="309"/>
        <v>2.0926791195398753E-2</v>
      </c>
      <c r="BF123" s="225">
        <f t="shared" si="309"/>
        <v>7.0088690593415826E-2</v>
      </c>
      <c r="BG123" s="225">
        <f t="shared" si="309"/>
        <v>-8.7485687842541959E-2</v>
      </c>
      <c r="BH123" s="225">
        <f t="shared" si="309"/>
        <v>4.9394053725170251E-3</v>
      </c>
      <c r="BI123" s="225">
        <f t="shared" si="310"/>
        <v>-8.2546282470024934E-2</v>
      </c>
      <c r="BO123" t="str">
        <f t="shared" si="322"/>
        <v>23 Teaching and other educational professionals</v>
      </c>
      <c r="BP123" s="225">
        <f t="shared" si="311"/>
        <v>-2.2828104317612619E-3</v>
      </c>
      <c r="BQ123" s="225">
        <f t="shared" si="311"/>
        <v>-7.5321331093075816E-2</v>
      </c>
      <c r="BR123" s="225">
        <f t="shared" si="311"/>
        <v>-7.3258890773824747E-2</v>
      </c>
      <c r="BS123" s="225">
        <f t="shared" si="311"/>
        <v>-0.1524950163864246</v>
      </c>
      <c r="BT123" s="225">
        <f t="shared" si="312"/>
        <v>-0.22575390716024935</v>
      </c>
      <c r="BZ123" t="str">
        <f t="shared" si="323"/>
        <v>23 Teaching and other educational professionals</v>
      </c>
      <c r="CA123" s="278">
        <f t="shared" si="313"/>
        <v>-1.5040280265789407E-2</v>
      </c>
      <c r="CB123" s="278">
        <f t="shared" si="313"/>
        <v>3.3310942483935624E-3</v>
      </c>
      <c r="CC123" s="278">
        <f t="shared" si="313"/>
        <v>-0.10011615982149619</v>
      </c>
      <c r="CD123" s="278">
        <f t="shared" si="313"/>
        <v>-0.16111462491616599</v>
      </c>
      <c r="CE123" s="278">
        <f t="shared" si="314"/>
        <v>-0.26123078473766215</v>
      </c>
      <c r="CK123" t="str">
        <f t="shared" si="324"/>
        <v>23 Teaching and other educational professionals</v>
      </c>
      <c r="CL123" s="278">
        <f t="shared" si="315"/>
        <v>8.2030937566417716E-3</v>
      </c>
      <c r="CM123" s="278">
        <f t="shared" si="315"/>
        <v>5.8847250171998461E-2</v>
      </c>
      <c r="CN123" s="278">
        <f t="shared" si="315"/>
        <v>-6.6509638445579083E-2</v>
      </c>
      <c r="CO123" s="278">
        <f t="shared" si="315"/>
        <v>-2.8274772518243341E-2</v>
      </c>
      <c r="CP123" s="278">
        <f t="shared" si="316"/>
        <v>-9.4784410963822424E-2</v>
      </c>
    </row>
    <row r="124" spans="1:94">
      <c r="A124" t="str">
        <f t="shared" si="298"/>
        <v>24 Business, media and public service professionals</v>
      </c>
      <c r="B124" s="225">
        <f t="shared" si="299"/>
        <v>0.12781826345296093</v>
      </c>
      <c r="C124" s="225">
        <f t="shared" si="299"/>
        <v>7.1001160458013524E-3</v>
      </c>
      <c r="D124" s="225">
        <f t="shared" si="299"/>
        <v>0.14266061513998363</v>
      </c>
      <c r="E124" s="225">
        <f t="shared" si="299"/>
        <v>0.32792720336063297</v>
      </c>
      <c r="F124" s="225">
        <f t="shared" si="300"/>
        <v>0.47058781850061659</v>
      </c>
      <c r="L124" t="str">
        <f t="shared" si="317"/>
        <v>24 Business, media and public service professionals</v>
      </c>
      <c r="M124" s="225">
        <f t="shared" si="301"/>
        <v>1.7706885959511673</v>
      </c>
      <c r="N124" s="225">
        <f t="shared" si="301"/>
        <v>2.641952615434473E-2</v>
      </c>
      <c r="O124" s="225">
        <f t="shared" si="301"/>
        <v>1.3083066435286863</v>
      </c>
      <c r="P124" s="225">
        <f t="shared" si="301"/>
        <v>2.7417887972007868</v>
      </c>
      <c r="Q124" s="225">
        <f t="shared" si="302"/>
        <v>4.0500954407294731</v>
      </c>
      <c r="W124" t="str">
        <f t="shared" si="318"/>
        <v>24 Business, media and public service professionals</v>
      </c>
      <c r="X124" s="225">
        <f t="shared" si="303"/>
        <v>-5.0126751548660309E-2</v>
      </c>
      <c r="Y124" s="225">
        <f t="shared" si="303"/>
        <v>1.4873864923142843</v>
      </c>
      <c r="Z124" s="225">
        <f t="shared" si="303"/>
        <v>7.043682299815579E-2</v>
      </c>
      <c r="AA124" s="225">
        <f t="shared" si="303"/>
        <v>0.80124782794450233</v>
      </c>
      <c r="AB124" s="225">
        <f t="shared" si="304"/>
        <v>0.87168465094265812</v>
      </c>
      <c r="AH124" t="str">
        <f t="shared" si="319"/>
        <v>24 Business, media and public service professionals</v>
      </c>
      <c r="AI124" s="225">
        <f t="shared" si="305"/>
        <v>-9.4564834378098483E-2</v>
      </c>
      <c r="AJ124" s="225">
        <f t="shared" si="305"/>
        <v>0.17839833624080659</v>
      </c>
      <c r="AK124" s="225">
        <f t="shared" si="305"/>
        <v>-0.12130471999936565</v>
      </c>
      <c r="AL124" s="225">
        <f t="shared" si="305"/>
        <v>2.0422101233127155E-2</v>
      </c>
      <c r="AM124" s="225">
        <f t="shared" si="306"/>
        <v>-0.1008826187662385</v>
      </c>
      <c r="AS124" t="str">
        <f t="shared" si="320"/>
        <v>24 Business, media and public service professionals</v>
      </c>
      <c r="AT124" s="225">
        <f t="shared" si="307"/>
        <v>-7.7642044229649265E-2</v>
      </c>
      <c r="AU124" s="225">
        <f t="shared" si="307"/>
        <v>0.24580214451902993</v>
      </c>
      <c r="AV124" s="225">
        <f t="shared" si="307"/>
        <v>-1.1657244732412586E-2</v>
      </c>
      <c r="AW124" s="225">
        <f t="shared" si="307"/>
        <v>0.12753151593647183</v>
      </c>
      <c r="AX124" s="225">
        <f t="shared" si="308"/>
        <v>0.11587427120405924</v>
      </c>
      <c r="BD124" t="str">
        <f t="shared" si="321"/>
        <v>24 Business, media and public service professionals</v>
      </c>
      <c r="BE124" s="225">
        <f t="shared" si="309"/>
        <v>0.68963535457982461</v>
      </c>
      <c r="BF124" s="225">
        <f t="shared" si="309"/>
        <v>0.39954223685708623</v>
      </c>
      <c r="BG124" s="225">
        <f t="shared" si="309"/>
        <v>0.24504893010968409</v>
      </c>
      <c r="BH124" s="225">
        <f t="shared" si="309"/>
        <v>0.41521587264179871</v>
      </c>
      <c r="BI124" s="225">
        <f t="shared" si="310"/>
        <v>0.6602648027514828</v>
      </c>
      <c r="BO124" t="str">
        <f t="shared" si="322"/>
        <v>24 Business, media and public service professionals</v>
      </c>
      <c r="BP124" s="225">
        <f t="shared" si="311"/>
        <v>0.21391904508051995</v>
      </c>
      <c r="BQ124" s="225">
        <f t="shared" si="311"/>
        <v>-4.8220332728873938E-2</v>
      </c>
      <c r="BR124" s="225">
        <f t="shared" si="311"/>
        <v>-3.7561589269481832E-2</v>
      </c>
      <c r="BS124" s="225">
        <f t="shared" si="311"/>
        <v>-0.37305283352874241</v>
      </c>
      <c r="BT124" s="225">
        <f t="shared" si="312"/>
        <v>-0.41061442279822424</v>
      </c>
      <c r="BZ124" t="str">
        <f t="shared" si="323"/>
        <v>24 Business, media and public service professionals</v>
      </c>
      <c r="CA124" s="278">
        <f t="shared" si="313"/>
        <v>5.8028998637586593E-2</v>
      </c>
      <c r="CB124" s="278">
        <f t="shared" si="313"/>
        <v>9.011872975177182E-2</v>
      </c>
      <c r="CC124" s="278">
        <f t="shared" si="313"/>
        <v>-0.25374837206162759</v>
      </c>
      <c r="CD124" s="278">
        <f t="shared" si="313"/>
        <v>-0.53229021269139876</v>
      </c>
      <c r="CE124" s="278">
        <f t="shared" si="314"/>
        <v>-0.78603858475302635</v>
      </c>
      <c r="CK124" t="str">
        <f t="shared" si="324"/>
        <v>24 Business, media and public service professionals</v>
      </c>
      <c r="CL124" s="278">
        <f t="shared" si="315"/>
        <v>1.238327525513605E-2</v>
      </c>
      <c r="CM124" s="278">
        <f t="shared" si="315"/>
        <v>0.1148785492159009</v>
      </c>
      <c r="CN124" s="278">
        <f t="shared" si="315"/>
        <v>-0.18273204357930251</v>
      </c>
      <c r="CO124" s="278">
        <f t="shared" si="315"/>
        <v>-0.11190841685603636</v>
      </c>
      <c r="CP124" s="278">
        <f t="shared" si="316"/>
        <v>-0.29464046043533887</v>
      </c>
    </row>
    <row r="125" spans="1:94">
      <c r="A125" t="str">
        <f t="shared" si="298"/>
        <v>31 Science, engineering and technology associate professionals</v>
      </c>
      <c r="B125" s="225">
        <f t="shared" si="299"/>
        <v>3.1010642247252238E-2</v>
      </c>
      <c r="C125" s="225">
        <f t="shared" si="299"/>
        <v>-7.1764087405057353E-3</v>
      </c>
      <c r="D125" s="225">
        <f t="shared" si="299"/>
        <v>3.3826249555593685E-2</v>
      </c>
      <c r="E125" s="225">
        <f t="shared" si="299"/>
        <v>0.11037029199699655</v>
      </c>
      <c r="F125" s="225">
        <f t="shared" si="300"/>
        <v>0.14419654155259023</v>
      </c>
      <c r="L125" t="str">
        <f t="shared" si="317"/>
        <v>31 Science, engineering and technology associate professionals</v>
      </c>
      <c r="M125" s="225">
        <f t="shared" si="301"/>
        <v>0.26037285251480069</v>
      </c>
      <c r="N125" s="225">
        <f t="shared" si="301"/>
        <v>-4.5798322522685675E-2</v>
      </c>
      <c r="O125" s="225">
        <f t="shared" si="301"/>
        <v>0.11681405436137338</v>
      </c>
      <c r="P125" s="225">
        <f t="shared" si="301"/>
        <v>0.42031973984657478</v>
      </c>
      <c r="Q125" s="225">
        <f t="shared" si="302"/>
        <v>0.53713379420794816</v>
      </c>
      <c r="W125" t="str">
        <f t="shared" si="318"/>
        <v>31 Science, engineering and technology associate professionals</v>
      </c>
      <c r="X125" s="225">
        <f t="shared" si="303"/>
        <v>-4.9016400456460829E-2</v>
      </c>
      <c r="Y125" s="225">
        <f t="shared" si="303"/>
        <v>0.18108195818435591</v>
      </c>
      <c r="Z125" s="225">
        <f t="shared" si="303"/>
        <v>-9.2394956346335544E-2</v>
      </c>
      <c r="AA125" s="225">
        <f t="shared" si="303"/>
        <v>0.18576849863071598</v>
      </c>
      <c r="AB125" s="225">
        <f t="shared" si="304"/>
        <v>9.337354228438044E-2</v>
      </c>
      <c r="AH125" t="str">
        <f t="shared" si="319"/>
        <v>31 Science, engineering and technology associate professionals</v>
      </c>
      <c r="AI125" s="225">
        <f t="shared" si="305"/>
        <v>1.5161411762061761E-2</v>
      </c>
      <c r="AJ125" s="225">
        <f t="shared" si="305"/>
        <v>5.8099091958030813E-2</v>
      </c>
      <c r="AK125" s="225">
        <f t="shared" si="305"/>
        <v>9.4581725867481925E-4</v>
      </c>
      <c r="AL125" s="225">
        <f t="shared" si="305"/>
        <v>0.11040807323235985</v>
      </c>
      <c r="AM125" s="225">
        <f t="shared" si="306"/>
        <v>0.11135389049103467</v>
      </c>
      <c r="AS125" t="str">
        <f t="shared" si="320"/>
        <v>31 Science, engineering and technology associate professionals</v>
      </c>
      <c r="AT125" s="225">
        <f t="shared" si="307"/>
        <v>-5.5905939342377642E-2</v>
      </c>
      <c r="AU125" s="225">
        <f t="shared" si="307"/>
        <v>6.9638635084504186E-2</v>
      </c>
      <c r="AV125" s="225">
        <f t="shared" si="307"/>
        <v>-0.14753685274807249</v>
      </c>
      <c r="AW125" s="225">
        <f t="shared" si="307"/>
        <v>-1.6912534930936585E-2</v>
      </c>
      <c r="AX125" s="225">
        <f t="shared" si="308"/>
        <v>-0.16444938767900907</v>
      </c>
      <c r="BD125" t="str">
        <f t="shared" si="321"/>
        <v>31 Science, engineering and technology associate professionals</v>
      </c>
      <c r="BE125" s="225">
        <f t="shared" si="309"/>
        <v>1.3826828234726918E-2</v>
      </c>
      <c r="BF125" s="225">
        <f t="shared" si="309"/>
        <v>0.12438588780916704</v>
      </c>
      <c r="BG125" s="225">
        <f t="shared" si="309"/>
        <v>-0.24283457978850653</v>
      </c>
      <c r="BH125" s="225">
        <f t="shared" si="309"/>
        <v>-0.18589052977570342</v>
      </c>
      <c r="BI125" s="225">
        <f t="shared" si="310"/>
        <v>-0.42872510956420995</v>
      </c>
      <c r="BO125" t="str">
        <f t="shared" si="322"/>
        <v>31 Science, engineering and technology associate professionals</v>
      </c>
      <c r="BP125" s="225">
        <f t="shared" si="311"/>
        <v>0.16850709284396892</v>
      </c>
      <c r="BQ125" s="225">
        <f t="shared" si="311"/>
        <v>2.8752483159619979E-2</v>
      </c>
      <c r="BR125" s="225">
        <f t="shared" si="311"/>
        <v>-6.7452308603186628E-2</v>
      </c>
      <c r="BS125" s="225">
        <f t="shared" si="311"/>
        <v>-5.0699592946249039E-2</v>
      </c>
      <c r="BT125" s="225">
        <f t="shared" si="312"/>
        <v>-0.11815190154943567</v>
      </c>
      <c r="BZ125" t="str">
        <f t="shared" si="323"/>
        <v>31 Science, engineering and technology associate professionals</v>
      </c>
      <c r="CA125" s="278">
        <f t="shared" si="313"/>
        <v>3.5363148472717376E-2</v>
      </c>
      <c r="CB125" s="278">
        <f t="shared" si="313"/>
        <v>0.14675325288136476</v>
      </c>
      <c r="CC125" s="278">
        <f t="shared" si="313"/>
        <v>-0.22938756396683491</v>
      </c>
      <c r="CD125" s="278">
        <f t="shared" si="313"/>
        <v>-0.19071185715249728</v>
      </c>
      <c r="CE125" s="278">
        <f t="shared" si="314"/>
        <v>-0.42009942111933218</v>
      </c>
      <c r="CK125" t="str">
        <f t="shared" si="324"/>
        <v>31 Science, engineering and technology associate professionals</v>
      </c>
      <c r="CL125" s="278">
        <f t="shared" si="315"/>
        <v>1.8864340260352136E-2</v>
      </c>
      <c r="CM125" s="278">
        <f t="shared" si="315"/>
        <v>7.8346442646675785E-2</v>
      </c>
      <c r="CN125" s="278">
        <f t="shared" si="315"/>
        <v>-6.9264944335208856E-2</v>
      </c>
      <c r="CO125" s="278">
        <f t="shared" si="315"/>
        <v>3.1048303693711421E-2</v>
      </c>
      <c r="CP125" s="278">
        <f t="shared" si="316"/>
        <v>-3.8216640641497435E-2</v>
      </c>
    </row>
    <row r="126" spans="1:94">
      <c r="A126" t="str">
        <f t="shared" si="298"/>
        <v>32 Health and social care associate professionals</v>
      </c>
      <c r="B126" s="225">
        <f t="shared" si="299"/>
        <v>1.5158956908103718E-2</v>
      </c>
      <c r="C126" s="225">
        <f t="shared" si="299"/>
        <v>-4.5862855894201401E-3</v>
      </c>
      <c r="D126" s="225">
        <f t="shared" si="299"/>
        <v>4.5057967225686772E-2</v>
      </c>
      <c r="E126" s="225">
        <f t="shared" si="299"/>
        <v>9.6124800582378073E-2</v>
      </c>
      <c r="F126" s="225">
        <f t="shared" si="300"/>
        <v>0.14118276780806485</v>
      </c>
      <c r="L126" t="str">
        <f t="shared" si="317"/>
        <v>32 Health and social care associate professionals</v>
      </c>
      <c r="M126" s="225">
        <f t="shared" si="301"/>
        <v>0.50257254591037481</v>
      </c>
      <c r="N126" s="225">
        <f t="shared" si="301"/>
        <v>2.7248514974962834E-2</v>
      </c>
      <c r="O126" s="225">
        <f t="shared" si="301"/>
        <v>1.3518091933657754</v>
      </c>
      <c r="P126" s="225">
        <f t="shared" si="301"/>
        <v>2.3464685551604001</v>
      </c>
      <c r="Q126" s="225">
        <f t="shared" si="302"/>
        <v>3.6982777485261753</v>
      </c>
      <c r="W126" t="str">
        <f t="shared" si="318"/>
        <v>32 Health and social care associate professionals</v>
      </c>
      <c r="X126" s="225">
        <f t="shared" si="303"/>
        <v>0.5704043742445184</v>
      </c>
      <c r="Y126" s="225">
        <f t="shared" si="303"/>
        <v>0.34491486546158789</v>
      </c>
      <c r="Z126" s="225">
        <f t="shared" si="303"/>
        <v>2.5061283986972556</v>
      </c>
      <c r="AA126" s="225">
        <f t="shared" si="303"/>
        <v>1.747833949550988</v>
      </c>
      <c r="AB126" s="225">
        <f t="shared" si="304"/>
        <v>4.253962348248244</v>
      </c>
      <c r="AH126" t="str">
        <f t="shared" si="319"/>
        <v>32 Health and social care associate professionals</v>
      </c>
      <c r="AI126" s="225">
        <f t="shared" si="305"/>
        <v>-0.12855962824275791</v>
      </c>
      <c r="AJ126" s="225">
        <f t="shared" si="305"/>
        <v>9.1231966017959021E-2</v>
      </c>
      <c r="AK126" s="225">
        <f t="shared" si="305"/>
        <v>0.23581868299811193</v>
      </c>
      <c r="AL126" s="225">
        <f t="shared" si="305"/>
        <v>-0.75811520416160016</v>
      </c>
      <c r="AM126" s="225">
        <f t="shared" si="306"/>
        <v>-0.52229652116348824</v>
      </c>
      <c r="AS126" t="str">
        <f t="shared" si="320"/>
        <v>32 Health and social care associate professionals</v>
      </c>
      <c r="AT126" s="225">
        <f t="shared" si="307"/>
        <v>3.587977354625993E-2</v>
      </c>
      <c r="AU126" s="225">
        <f t="shared" si="307"/>
        <v>6.9920148050161612E-2</v>
      </c>
      <c r="AV126" s="225">
        <f t="shared" si="307"/>
        <v>0.22353573982434172</v>
      </c>
      <c r="AW126" s="225">
        <f t="shared" si="307"/>
        <v>0.13085592582064276</v>
      </c>
      <c r="AX126" s="225">
        <f t="shared" si="308"/>
        <v>0.35439166564498448</v>
      </c>
      <c r="BD126" t="str">
        <f t="shared" si="321"/>
        <v>32 Health and social care associate professionals</v>
      </c>
      <c r="BE126" s="225">
        <f t="shared" si="309"/>
        <v>0.58919060742985829</v>
      </c>
      <c r="BF126" s="225">
        <f t="shared" si="309"/>
        <v>-0.1135250139149464</v>
      </c>
      <c r="BG126" s="225">
        <f t="shared" si="309"/>
        <v>1.3558694852099304</v>
      </c>
      <c r="BH126" s="225">
        <f t="shared" si="309"/>
        <v>0.37198290616187002</v>
      </c>
      <c r="BI126" s="225">
        <f t="shared" si="310"/>
        <v>1.7278523913718005</v>
      </c>
      <c r="BO126" t="str">
        <f t="shared" si="322"/>
        <v>32 Health and social care associate professionals</v>
      </c>
      <c r="BP126" s="225">
        <f t="shared" si="311"/>
        <v>0.32991225695326643</v>
      </c>
      <c r="BQ126" s="225">
        <f t="shared" si="311"/>
        <v>-0.29490578084783392</v>
      </c>
      <c r="BR126" s="225">
        <f t="shared" si="311"/>
        <v>0.86385373228947149</v>
      </c>
      <c r="BS126" s="225">
        <f t="shared" si="311"/>
        <v>-0.31590632772790506</v>
      </c>
      <c r="BT126" s="225">
        <f t="shared" si="312"/>
        <v>0.54794740456156643</v>
      </c>
      <c r="BZ126" t="str">
        <f t="shared" si="323"/>
        <v>32 Health and social care associate professionals</v>
      </c>
      <c r="CA126" s="278">
        <f t="shared" si="313"/>
        <v>6.5244018781045465E-3</v>
      </c>
      <c r="CB126" s="278">
        <f t="shared" si="313"/>
        <v>-9.3825693989955994E-2</v>
      </c>
      <c r="CC126" s="278">
        <f t="shared" si="313"/>
        <v>9.1443822255254381E-2</v>
      </c>
      <c r="CD126" s="278">
        <f t="shared" si="313"/>
        <v>-0.23151674312297998</v>
      </c>
      <c r="CE126" s="278">
        <f t="shared" si="314"/>
        <v>-0.1400729208677256</v>
      </c>
      <c r="CK126" t="str">
        <f t="shared" si="324"/>
        <v>32 Health and social care associate professionals</v>
      </c>
      <c r="CL126" s="278">
        <f t="shared" si="315"/>
        <v>2.7567238169293601E-3</v>
      </c>
      <c r="CM126" s="278">
        <f t="shared" si="315"/>
        <v>1.8681214867230497E-2</v>
      </c>
      <c r="CN126" s="278">
        <f t="shared" si="315"/>
        <v>4.7483708250590784E-3</v>
      </c>
      <c r="CO126" s="278">
        <f t="shared" si="315"/>
        <v>-1.2055387414284718E-2</v>
      </c>
      <c r="CP126" s="278">
        <f t="shared" si="316"/>
        <v>-7.30701658922564E-3</v>
      </c>
    </row>
    <row r="127" spans="1:94">
      <c r="A127" t="str">
        <f t="shared" si="298"/>
        <v>33 Protective service occupations</v>
      </c>
      <c r="B127" s="225">
        <f t="shared" si="299"/>
        <v>8.2797415362754027E-3</v>
      </c>
      <c r="C127" s="225">
        <f t="shared" si="299"/>
        <v>-2.4912337841820446E-3</v>
      </c>
      <c r="D127" s="225">
        <f t="shared" si="299"/>
        <v>5.2596634046908342E-3</v>
      </c>
      <c r="E127" s="225">
        <f t="shared" si="299"/>
        <v>2.0256358175355038E-2</v>
      </c>
      <c r="F127" s="225">
        <f t="shared" si="300"/>
        <v>2.5516021580045872E-2</v>
      </c>
      <c r="L127" t="str">
        <f t="shared" si="317"/>
        <v>33 Protective service occupations</v>
      </c>
      <c r="M127" s="225">
        <f t="shared" si="301"/>
        <v>7.7560642962659437E-2</v>
      </c>
      <c r="N127" s="225">
        <f t="shared" si="301"/>
        <v>-2.2454814075840934E-2</v>
      </c>
      <c r="O127" s="225">
        <f t="shared" si="301"/>
        <v>2.750633931568125E-2</v>
      </c>
      <c r="P127" s="225">
        <f t="shared" si="301"/>
        <v>0.18430649507585911</v>
      </c>
      <c r="Q127" s="225">
        <f t="shared" si="302"/>
        <v>0.21181283439154036</v>
      </c>
      <c r="W127" t="str">
        <f t="shared" si="318"/>
        <v>33 Protective service occupations</v>
      </c>
      <c r="X127" s="225">
        <f t="shared" si="303"/>
        <v>1.4875309670562276E-3</v>
      </c>
      <c r="Y127" s="225">
        <f t="shared" si="303"/>
        <v>0.16677253625052024</v>
      </c>
      <c r="Z127" s="225">
        <f t="shared" si="303"/>
        <v>-9.8833541172495432E-2</v>
      </c>
      <c r="AA127" s="225">
        <f t="shared" si="303"/>
        <v>0.39549013049603254</v>
      </c>
      <c r="AB127" s="225">
        <f t="shared" si="304"/>
        <v>0.29665658932353711</v>
      </c>
      <c r="AH127" t="str">
        <f t="shared" si="319"/>
        <v>33 Protective service occupations</v>
      </c>
      <c r="AI127" s="225">
        <f t="shared" si="305"/>
        <v>-6.7567430333435041E-3</v>
      </c>
      <c r="AJ127" s="225">
        <f t="shared" si="305"/>
        <v>4.4911880794468728E-2</v>
      </c>
      <c r="AK127" s="225">
        <f t="shared" si="305"/>
        <v>-2.1483553747204898E-2</v>
      </c>
      <c r="AL127" s="225">
        <f t="shared" si="305"/>
        <v>0.11398377188683312</v>
      </c>
      <c r="AM127" s="225">
        <f t="shared" si="306"/>
        <v>9.2500218139628221E-2</v>
      </c>
      <c r="AS127" t="str">
        <f t="shared" si="320"/>
        <v>33 Protective service occupations</v>
      </c>
      <c r="AT127" s="225">
        <f t="shared" si="307"/>
        <v>-2.8933950839570149E-2</v>
      </c>
      <c r="AU127" s="225">
        <f t="shared" si="307"/>
        <v>3.029134673359804E-2</v>
      </c>
      <c r="AV127" s="225">
        <f t="shared" si="307"/>
        <v>-4.9399109702951666E-2</v>
      </c>
      <c r="AW127" s="225">
        <f t="shared" si="307"/>
        <v>3.8116241034011927E-2</v>
      </c>
      <c r="AX127" s="225">
        <f t="shared" si="308"/>
        <v>-1.1282868668939738E-2</v>
      </c>
      <c r="BD127" t="str">
        <f t="shared" si="321"/>
        <v>33 Protective service occupations</v>
      </c>
      <c r="BE127" s="225">
        <f t="shared" si="309"/>
        <v>-2.0421717352167024E-2</v>
      </c>
      <c r="BF127" s="225">
        <f t="shared" si="309"/>
        <v>4.5014262618580325E-2</v>
      </c>
      <c r="BG127" s="225">
        <f t="shared" si="309"/>
        <v>-0.13842065008747773</v>
      </c>
      <c r="BH127" s="225">
        <f t="shared" si="309"/>
        <v>-3.8043204065003056E-2</v>
      </c>
      <c r="BI127" s="225">
        <f t="shared" si="310"/>
        <v>-0.17646385415248078</v>
      </c>
      <c r="BO127" t="str">
        <f t="shared" si="322"/>
        <v>33 Protective service occupations</v>
      </c>
      <c r="BP127" s="225">
        <f t="shared" si="311"/>
        <v>3.7351080032880013E-2</v>
      </c>
      <c r="BQ127" s="225">
        <f t="shared" si="311"/>
        <v>-3.2212066717069776E-2</v>
      </c>
      <c r="BR127" s="225">
        <f t="shared" si="311"/>
        <v>-0.16631678463486543</v>
      </c>
      <c r="BS127" s="225">
        <f t="shared" si="311"/>
        <v>-0.1558322202363922</v>
      </c>
      <c r="BT127" s="225">
        <f t="shared" si="312"/>
        <v>-0.32214900487125764</v>
      </c>
      <c r="BZ127" t="str">
        <f t="shared" si="323"/>
        <v>33 Protective service occupations</v>
      </c>
      <c r="CA127" s="278">
        <f t="shared" si="313"/>
        <v>-4.8531458214025158E-2</v>
      </c>
      <c r="CB127" s="278">
        <f t="shared" si="313"/>
        <v>1.7028677476679466E-2</v>
      </c>
      <c r="CC127" s="278">
        <f t="shared" si="313"/>
        <v>-0.1486126802425855</v>
      </c>
      <c r="CD127" s="278">
        <f t="shared" si="313"/>
        <v>-0.14320957781843974</v>
      </c>
      <c r="CE127" s="278">
        <f t="shared" si="314"/>
        <v>-0.29182225806102524</v>
      </c>
      <c r="CK127" t="str">
        <f t="shared" si="324"/>
        <v>33 Protective service occupations</v>
      </c>
      <c r="CL127" s="278">
        <f t="shared" si="315"/>
        <v>-3.7449830895715713E-2</v>
      </c>
      <c r="CM127" s="278">
        <f t="shared" si="315"/>
        <v>1.3452462526090003E-2</v>
      </c>
      <c r="CN127" s="278">
        <f t="shared" si="315"/>
        <v>-3.8859969655386878E-2</v>
      </c>
      <c r="CO127" s="278">
        <f t="shared" si="315"/>
        <v>-2.1304011951253921E-2</v>
      </c>
      <c r="CP127" s="278">
        <f t="shared" si="316"/>
        <v>-6.0163981606640798E-2</v>
      </c>
    </row>
    <row r="128" spans="1:94">
      <c r="A128" t="str">
        <f t="shared" si="298"/>
        <v>34 Culture, media and sports occupations</v>
      </c>
      <c r="B128" s="225">
        <f t="shared" si="299"/>
        <v>2.2662242561650781E-2</v>
      </c>
      <c r="C128" s="225">
        <f t="shared" si="299"/>
        <v>1.7233354742279827E-3</v>
      </c>
      <c r="D128" s="225">
        <f t="shared" si="299"/>
        <v>1.2741245792855294E-2</v>
      </c>
      <c r="E128" s="225">
        <f t="shared" si="299"/>
        <v>3.8426409250247553E-2</v>
      </c>
      <c r="F128" s="225">
        <f t="shared" si="300"/>
        <v>5.1167655043102847E-2</v>
      </c>
      <c r="L128" t="str">
        <f t="shared" si="317"/>
        <v>34 Culture, media and sports occupations</v>
      </c>
      <c r="M128" s="225">
        <f t="shared" si="301"/>
        <v>0.35049533448220349</v>
      </c>
      <c r="N128" s="225">
        <f t="shared" si="301"/>
        <v>-3.8439556165472677E-3</v>
      </c>
      <c r="O128" s="225">
        <f t="shared" si="301"/>
        <v>2.4160507990493407E-2</v>
      </c>
      <c r="P128" s="225">
        <f t="shared" si="301"/>
        <v>0.45768047995170402</v>
      </c>
      <c r="Q128" s="225">
        <f t="shared" si="302"/>
        <v>0.48184098794219743</v>
      </c>
      <c r="W128" t="str">
        <f t="shared" si="318"/>
        <v>34 Culture, media and sports occupations</v>
      </c>
      <c r="X128" s="225">
        <f t="shared" si="303"/>
        <v>-0.19393580997126225</v>
      </c>
      <c r="Y128" s="225">
        <f t="shared" si="303"/>
        <v>0.14465429918085526</v>
      </c>
      <c r="Z128" s="225">
        <f t="shared" si="303"/>
        <v>-0.39005514192151214</v>
      </c>
      <c r="AA128" s="225">
        <f t="shared" si="303"/>
        <v>0.18606515609326868</v>
      </c>
      <c r="AB128" s="225">
        <f t="shared" si="304"/>
        <v>-0.20398998582824346</v>
      </c>
      <c r="AH128" t="str">
        <f t="shared" si="319"/>
        <v>34 Culture, media and sports occupations</v>
      </c>
      <c r="AI128" s="225">
        <f t="shared" si="305"/>
        <v>-7.4978782444692693E-2</v>
      </c>
      <c r="AJ128" s="225">
        <f t="shared" si="305"/>
        <v>7.1290605262548878E-2</v>
      </c>
      <c r="AK128" s="225">
        <f t="shared" si="305"/>
        <v>-4.4382395719147372E-2</v>
      </c>
      <c r="AL128" s="225">
        <f t="shared" si="305"/>
        <v>0.10433618533688727</v>
      </c>
      <c r="AM128" s="225">
        <f t="shared" si="306"/>
        <v>5.9953789617739894E-2</v>
      </c>
      <c r="AS128" t="str">
        <f t="shared" si="320"/>
        <v>34 Culture, media and sports occupations</v>
      </c>
      <c r="AT128" s="225">
        <f t="shared" si="307"/>
        <v>-5.2715563891945316E-2</v>
      </c>
      <c r="AU128" s="225">
        <f t="shared" si="307"/>
        <v>2.2787397297930556E-2</v>
      </c>
      <c r="AV128" s="225">
        <f t="shared" si="307"/>
        <v>-8.2429707399411911E-2</v>
      </c>
      <c r="AW128" s="225">
        <f t="shared" si="307"/>
        <v>1.1770756364664181E-2</v>
      </c>
      <c r="AX128" s="225">
        <f t="shared" si="308"/>
        <v>-7.065895103474773E-2</v>
      </c>
      <c r="BD128" t="str">
        <f t="shared" si="321"/>
        <v>34 Culture, media and sports occupations</v>
      </c>
      <c r="BE128" s="225">
        <f t="shared" si="309"/>
        <v>4.3522185360805876E-2</v>
      </c>
      <c r="BF128" s="225">
        <f t="shared" si="309"/>
        <v>4.3880986001726185E-2</v>
      </c>
      <c r="BG128" s="225">
        <f t="shared" si="309"/>
        <v>-0.18622240841184645</v>
      </c>
      <c r="BH128" s="225">
        <f t="shared" si="309"/>
        <v>0.11986731012719587</v>
      </c>
      <c r="BI128" s="225">
        <f t="shared" si="310"/>
        <v>-6.6355098284650582E-2</v>
      </c>
      <c r="BO128" t="str">
        <f t="shared" si="322"/>
        <v>34 Culture, media and sports occupations</v>
      </c>
      <c r="BP128" s="225">
        <f t="shared" si="311"/>
        <v>-4.9257423336121708E-2</v>
      </c>
      <c r="BQ128" s="225">
        <f t="shared" si="311"/>
        <v>-7.1654045430568969E-2</v>
      </c>
      <c r="BR128" s="225">
        <f t="shared" si="311"/>
        <v>-0.12780181677114405</v>
      </c>
      <c r="BS128" s="225">
        <f t="shared" si="311"/>
        <v>-0.13074013458347072</v>
      </c>
      <c r="BT128" s="225">
        <f t="shared" si="312"/>
        <v>-0.25854195135461477</v>
      </c>
      <c r="BZ128" t="str">
        <f t="shared" si="323"/>
        <v>34 Culture, media and sports occupations</v>
      </c>
      <c r="CA128" s="278">
        <f t="shared" si="313"/>
        <v>-8.5205912532176631E-2</v>
      </c>
      <c r="CB128" s="278">
        <f t="shared" si="313"/>
        <v>-8.4289180418705145E-3</v>
      </c>
      <c r="CC128" s="278">
        <f t="shared" si="313"/>
        <v>-0.16913966882088199</v>
      </c>
      <c r="CD128" s="278">
        <f t="shared" si="313"/>
        <v>-0.13578157917335715</v>
      </c>
      <c r="CE128" s="278">
        <f t="shared" si="314"/>
        <v>-0.30492124799423914</v>
      </c>
      <c r="CK128" t="str">
        <f t="shared" si="324"/>
        <v>34 Culture, media and sports occupations</v>
      </c>
      <c r="CL128" s="278">
        <f t="shared" si="315"/>
        <v>-1.6871659541622563E-2</v>
      </c>
      <c r="CM128" s="278">
        <f t="shared" si="315"/>
        <v>2.4482011778818424E-2</v>
      </c>
      <c r="CN128" s="278">
        <f t="shared" si="315"/>
        <v>-0.10869866498657768</v>
      </c>
      <c r="CO128" s="278">
        <f t="shared" si="315"/>
        <v>-3.355328387006859E-2</v>
      </c>
      <c r="CP128" s="278">
        <f t="shared" si="316"/>
        <v>-0.14225194885664627</v>
      </c>
    </row>
    <row r="129" spans="1:94">
      <c r="A129" t="str">
        <f t="shared" si="298"/>
        <v>35 Business and public service associate professionals</v>
      </c>
      <c r="B129" s="225">
        <f t="shared" si="299"/>
        <v>7.799537026395742E-2</v>
      </c>
      <c r="C129" s="225">
        <f t="shared" si="299"/>
        <v>-1.8230690921005599E-2</v>
      </c>
      <c r="D129" s="225">
        <f t="shared" si="299"/>
        <v>0.10145265718127211</v>
      </c>
      <c r="E129" s="225">
        <f t="shared" si="299"/>
        <v>0.26331664025863699</v>
      </c>
      <c r="F129" s="225">
        <f t="shared" si="300"/>
        <v>0.3647692974399091</v>
      </c>
      <c r="L129" t="str">
        <f t="shared" si="317"/>
        <v>35 Business and public service associate professionals</v>
      </c>
      <c r="M129" s="225">
        <f t="shared" si="301"/>
        <v>0.84658524883142672</v>
      </c>
      <c r="N129" s="225">
        <f t="shared" si="301"/>
        <v>-7.9953570174569055E-2</v>
      </c>
      <c r="O129" s="225">
        <f t="shared" si="301"/>
        <v>0.87583574539264086</v>
      </c>
      <c r="P129" s="225">
        <f t="shared" si="301"/>
        <v>2.0022705037408919</v>
      </c>
      <c r="Q129" s="225">
        <f t="shared" si="302"/>
        <v>2.8781062491335327</v>
      </c>
      <c r="W129" t="str">
        <f t="shared" si="318"/>
        <v>35 Business and public service associate professionals</v>
      </c>
      <c r="X129" s="225">
        <f t="shared" si="303"/>
        <v>-0.5715674665077497</v>
      </c>
      <c r="Y129" s="225">
        <f t="shared" si="303"/>
        <v>0.71137426112397595</v>
      </c>
      <c r="Z129" s="225">
        <f t="shared" si="303"/>
        <v>6.4664721555926619E-2</v>
      </c>
      <c r="AA129" s="225">
        <f t="shared" si="303"/>
        <v>0.47393122192180304</v>
      </c>
      <c r="AB129" s="225">
        <f t="shared" si="304"/>
        <v>0.53859594347772966</v>
      </c>
      <c r="AH129" t="str">
        <f t="shared" si="319"/>
        <v>35 Business and public service associate professionals</v>
      </c>
      <c r="AI129" s="225">
        <f t="shared" si="305"/>
        <v>-5.0605687575623559E-2</v>
      </c>
      <c r="AJ129" s="225">
        <f t="shared" si="305"/>
        <v>0.29929274360583258</v>
      </c>
      <c r="AK129" s="225">
        <f t="shared" si="305"/>
        <v>3.6850541575688567E-2</v>
      </c>
      <c r="AL129" s="225">
        <f t="shared" si="305"/>
        <v>0.24253435951794877</v>
      </c>
      <c r="AM129" s="225">
        <f t="shared" si="306"/>
        <v>0.27938490109363734</v>
      </c>
      <c r="AS129" t="str">
        <f t="shared" si="320"/>
        <v>35 Business and public service associate professionals</v>
      </c>
      <c r="AT129" s="225">
        <f t="shared" si="307"/>
        <v>-0.16737714393569081</v>
      </c>
      <c r="AU129" s="225">
        <f t="shared" si="307"/>
        <v>0.20236881709170573</v>
      </c>
      <c r="AV129" s="225">
        <f t="shared" si="307"/>
        <v>1.1480410364498983E-2</v>
      </c>
      <c r="AW129" s="225">
        <f t="shared" si="307"/>
        <v>0.20858807671423696</v>
      </c>
      <c r="AX129" s="225">
        <f t="shared" si="308"/>
        <v>0.22006848707873594</v>
      </c>
      <c r="BD129" t="str">
        <f t="shared" si="321"/>
        <v>35 Business and public service associate professionals</v>
      </c>
      <c r="BE129" s="225">
        <f t="shared" si="309"/>
        <v>0.36913317405687351</v>
      </c>
      <c r="BF129" s="225">
        <f t="shared" si="309"/>
        <v>9.1721626370699916E-2</v>
      </c>
      <c r="BG129" s="225">
        <f t="shared" si="309"/>
        <v>-8.4024975414700442E-2</v>
      </c>
      <c r="BH129" s="225">
        <f t="shared" si="309"/>
        <v>-9.2020226258882509E-2</v>
      </c>
      <c r="BI129" s="225">
        <f t="shared" si="310"/>
        <v>-0.17604520167358295</v>
      </c>
      <c r="BO129" t="str">
        <f t="shared" si="322"/>
        <v>35 Business and public service associate professionals</v>
      </c>
      <c r="BP129" s="225">
        <f t="shared" si="311"/>
        <v>7.8468781761459994E-2</v>
      </c>
      <c r="BQ129" s="225">
        <f t="shared" si="311"/>
        <v>-0.36150093308452824</v>
      </c>
      <c r="BR129" s="225">
        <f t="shared" si="311"/>
        <v>-7.2786341117878628E-2</v>
      </c>
      <c r="BS129" s="225">
        <f t="shared" si="311"/>
        <v>-0.6315147889104491</v>
      </c>
      <c r="BT129" s="225">
        <f t="shared" si="312"/>
        <v>-0.70430113002832773</v>
      </c>
      <c r="BZ129" t="str">
        <f t="shared" si="323"/>
        <v>35 Business and public service associate professionals</v>
      </c>
      <c r="CA129" s="278">
        <f t="shared" si="313"/>
        <v>-0.2300214521934314</v>
      </c>
      <c r="CB129" s="278">
        <f t="shared" si="313"/>
        <v>-3.9827062265103574E-2</v>
      </c>
      <c r="CC129" s="278">
        <f t="shared" si="313"/>
        <v>-0.50577587080219244</v>
      </c>
      <c r="CD129" s="278">
        <f t="shared" si="313"/>
        <v>-0.82827004517897818</v>
      </c>
      <c r="CE129" s="278">
        <f t="shared" si="314"/>
        <v>-1.3340459159811706</v>
      </c>
      <c r="CK129" t="str">
        <f t="shared" si="324"/>
        <v>35 Business and public service associate professionals</v>
      </c>
      <c r="CL129" s="278">
        <f t="shared" si="315"/>
        <v>-5.1938051476637104E-2</v>
      </c>
      <c r="CM129" s="278">
        <f t="shared" si="315"/>
        <v>0.12953306378973151</v>
      </c>
      <c r="CN129" s="278">
        <f t="shared" si="315"/>
        <v>-0.36424010312862565</v>
      </c>
      <c r="CO129" s="278">
        <f t="shared" si="315"/>
        <v>-8.915000651048044E-2</v>
      </c>
      <c r="CP129" s="278">
        <f t="shared" si="316"/>
        <v>-0.45339010963910609</v>
      </c>
    </row>
    <row r="130" spans="1:94">
      <c r="A130" t="str">
        <f t="shared" si="298"/>
        <v>41 Administrative occupations</v>
      </c>
      <c r="B130" s="225">
        <f t="shared" si="299"/>
        <v>4.734048858787071E-2</v>
      </c>
      <c r="C130" s="225">
        <f t="shared" si="299"/>
        <v>1.3098205015092679E-2</v>
      </c>
      <c r="D130" s="225">
        <f t="shared" si="299"/>
        <v>0.10551372566612999</v>
      </c>
      <c r="E130" s="225">
        <f t="shared" si="299"/>
        <v>0.26108490168738613</v>
      </c>
      <c r="F130" s="225">
        <f t="shared" si="300"/>
        <v>0.36659862735351612</v>
      </c>
      <c r="L130" t="str">
        <f t="shared" si="317"/>
        <v>41 Administrative occupations</v>
      </c>
      <c r="M130" s="225">
        <f t="shared" si="301"/>
        <v>0.59376018753069859</v>
      </c>
      <c r="N130" s="225">
        <f t="shared" si="301"/>
        <v>0.23654358141946341</v>
      </c>
      <c r="O130" s="225">
        <f t="shared" si="301"/>
        <v>1.0356281279937765</v>
      </c>
      <c r="P130" s="225">
        <f t="shared" si="301"/>
        <v>1.9022873245307137</v>
      </c>
      <c r="Q130" s="225">
        <f t="shared" si="302"/>
        <v>2.9379154525244902</v>
      </c>
      <c r="W130" t="str">
        <f t="shared" si="318"/>
        <v>41 Administrative occupations</v>
      </c>
      <c r="X130" s="225">
        <f t="shared" si="303"/>
        <v>-0.85419035833643253</v>
      </c>
      <c r="Y130" s="225">
        <f t="shared" si="303"/>
        <v>1.5676082515556358</v>
      </c>
      <c r="Z130" s="225">
        <f t="shared" si="303"/>
        <v>1.3551908828731989</v>
      </c>
      <c r="AA130" s="225">
        <f t="shared" si="303"/>
        <v>2.1114285310612484</v>
      </c>
      <c r="AB130" s="225">
        <f t="shared" si="304"/>
        <v>3.4666194139344473</v>
      </c>
      <c r="AH130" t="str">
        <f t="shared" si="319"/>
        <v>41 Administrative occupations</v>
      </c>
      <c r="AI130" s="225">
        <f t="shared" si="305"/>
        <v>-0.15926523851266872</v>
      </c>
      <c r="AJ130" s="225">
        <f t="shared" si="305"/>
        <v>0.62211523761012444</v>
      </c>
      <c r="AK130" s="225">
        <f t="shared" si="305"/>
        <v>0.37483131567146932</v>
      </c>
      <c r="AL130" s="225">
        <f t="shared" si="305"/>
        <v>0.79119775154378003</v>
      </c>
      <c r="AM130" s="225">
        <f t="shared" si="306"/>
        <v>1.1660290672152493</v>
      </c>
      <c r="AS130" t="str">
        <f t="shared" si="320"/>
        <v>41 Administrative occupations</v>
      </c>
      <c r="AT130" s="225">
        <f t="shared" si="307"/>
        <v>-0.39879852334745225</v>
      </c>
      <c r="AU130" s="225">
        <f t="shared" si="307"/>
        <v>0.59391564987352652</v>
      </c>
      <c r="AV130" s="225">
        <f t="shared" si="307"/>
        <v>0.17521064973077793</v>
      </c>
      <c r="AW130" s="225">
        <f t="shared" si="307"/>
        <v>0.52429430469235649</v>
      </c>
      <c r="AX130" s="225">
        <f t="shared" si="308"/>
        <v>0.69950495442313443</v>
      </c>
      <c r="BD130" t="str">
        <f t="shared" si="321"/>
        <v>41 Administrative occupations</v>
      </c>
      <c r="BE130" s="225">
        <f t="shared" si="309"/>
        <v>-0.28382552036027597</v>
      </c>
      <c r="BF130" s="225">
        <f t="shared" si="309"/>
        <v>0.20438605071387173</v>
      </c>
      <c r="BG130" s="225">
        <f t="shared" si="309"/>
        <v>0.24582836571896216</v>
      </c>
      <c r="BH130" s="225">
        <f t="shared" si="309"/>
        <v>-0.86244412304261964</v>
      </c>
      <c r="BI130" s="225">
        <f t="shared" si="310"/>
        <v>-0.61661575732365748</v>
      </c>
      <c r="BO130" t="str">
        <f t="shared" si="322"/>
        <v>41 Administrative occupations</v>
      </c>
      <c r="BP130" s="225">
        <f t="shared" si="311"/>
        <v>-0.90081778999578965</v>
      </c>
      <c r="BQ130" s="225">
        <f t="shared" si="311"/>
        <v>-0.96528481193577953</v>
      </c>
      <c r="BR130" s="225">
        <f t="shared" si="311"/>
        <v>0.3345609948759396</v>
      </c>
      <c r="BS130" s="225">
        <f t="shared" si="311"/>
        <v>-2.8044110369740984</v>
      </c>
      <c r="BT130" s="225">
        <f t="shared" si="312"/>
        <v>-2.4698500420981588</v>
      </c>
      <c r="BZ130" t="str">
        <f t="shared" si="323"/>
        <v>41 Administrative occupations</v>
      </c>
      <c r="CA130" s="278">
        <f t="shared" si="313"/>
        <v>-1.3050996289788843</v>
      </c>
      <c r="CB130" s="278">
        <f t="shared" si="313"/>
        <v>-0.51584112122794057</v>
      </c>
      <c r="CC130" s="278">
        <f t="shared" si="313"/>
        <v>-1.259218456862909</v>
      </c>
      <c r="CD130" s="278">
        <f t="shared" si="313"/>
        <v>-2.3375872483353803</v>
      </c>
      <c r="CE130" s="278">
        <f t="shared" si="314"/>
        <v>-3.5968057051982893</v>
      </c>
      <c r="CK130" t="str">
        <f t="shared" si="324"/>
        <v>41 Administrative occupations</v>
      </c>
      <c r="CL130" s="278">
        <f t="shared" si="315"/>
        <v>-0.71235122699881104</v>
      </c>
      <c r="CM130" s="278">
        <f t="shared" si="315"/>
        <v>0.27637412047897736</v>
      </c>
      <c r="CN130" s="278">
        <f t="shared" si="315"/>
        <v>-0.63126722023945536</v>
      </c>
      <c r="CO130" s="278">
        <f t="shared" si="315"/>
        <v>-0.40038915911017281</v>
      </c>
      <c r="CP130" s="278">
        <f t="shared" si="316"/>
        <v>-1.0316563793496281</v>
      </c>
    </row>
    <row r="131" spans="1:94">
      <c r="A131" t="str">
        <f t="shared" si="298"/>
        <v>42 Secretarial and related occupations</v>
      </c>
      <c r="B131" s="225">
        <f t="shared" si="299"/>
        <v>1.5274054761722881E-3</v>
      </c>
      <c r="C131" s="225">
        <f t="shared" si="299"/>
        <v>3.1098155388489222E-3</v>
      </c>
      <c r="D131" s="225">
        <f t="shared" si="299"/>
        <v>9.5581823003663274E-3</v>
      </c>
      <c r="E131" s="225">
        <f t="shared" si="299"/>
        <v>1.6898762297745458E-2</v>
      </c>
      <c r="F131" s="225">
        <f t="shared" si="300"/>
        <v>2.6456944598111785E-2</v>
      </c>
      <c r="L131" t="str">
        <f t="shared" si="317"/>
        <v>42 Secretarial and related occupations</v>
      </c>
      <c r="M131" s="225">
        <f t="shared" si="301"/>
        <v>7.786664850193864E-2</v>
      </c>
      <c r="N131" s="225">
        <f t="shared" si="301"/>
        <v>6.2128765028816535E-2</v>
      </c>
      <c r="O131" s="225">
        <f t="shared" si="301"/>
        <v>0.12838128017270578</v>
      </c>
      <c r="P131" s="225">
        <f t="shared" si="301"/>
        <v>-0.10900225206031972</v>
      </c>
      <c r="Q131" s="225">
        <f t="shared" si="302"/>
        <v>1.9379028112386065E-2</v>
      </c>
      <c r="W131" t="str">
        <f t="shared" si="318"/>
        <v>42 Secretarial and related occupations</v>
      </c>
      <c r="X131" s="225">
        <f t="shared" si="303"/>
        <v>-0.17805478375503059</v>
      </c>
      <c r="Y131" s="225">
        <f t="shared" si="303"/>
        <v>0.23259741620576646</v>
      </c>
      <c r="Z131" s="225">
        <f t="shared" si="303"/>
        <v>0.26926822197084066</v>
      </c>
      <c r="AA131" s="225">
        <f t="shared" si="303"/>
        <v>0.3828101368303054</v>
      </c>
      <c r="AB131" s="225">
        <f t="shared" si="304"/>
        <v>0.65207835880114606</v>
      </c>
      <c r="AH131" t="str">
        <f t="shared" si="319"/>
        <v>42 Secretarial and related occupations</v>
      </c>
      <c r="AI131" s="225">
        <f t="shared" si="305"/>
        <v>-7.6977539657756666E-2</v>
      </c>
      <c r="AJ131" s="225">
        <f t="shared" si="305"/>
        <v>0.14340410103190038</v>
      </c>
      <c r="AK131" s="225">
        <f t="shared" si="305"/>
        <v>2.862978132062477E-2</v>
      </c>
      <c r="AL131" s="225">
        <f t="shared" si="305"/>
        <v>-1.9455215270081427E-2</v>
      </c>
      <c r="AM131" s="225">
        <f t="shared" si="306"/>
        <v>9.1745660505433424E-3</v>
      </c>
      <c r="AS131" t="str">
        <f t="shared" si="320"/>
        <v>42 Secretarial and related occupations</v>
      </c>
      <c r="AT131" s="225">
        <f t="shared" si="307"/>
        <v>-0.10200624132701669</v>
      </c>
      <c r="AU131" s="225">
        <f t="shared" si="307"/>
        <v>0.11082693426888762</v>
      </c>
      <c r="AV131" s="225">
        <f t="shared" si="307"/>
        <v>2.2757974714937457E-2</v>
      </c>
      <c r="AW131" s="225">
        <f t="shared" si="307"/>
        <v>1.5143204831781665E-2</v>
      </c>
      <c r="AX131" s="225">
        <f t="shared" si="308"/>
        <v>3.7901179546719121E-2</v>
      </c>
      <c r="BD131" t="str">
        <f t="shared" si="321"/>
        <v>42 Secretarial and related occupations</v>
      </c>
      <c r="BE131" s="225">
        <f t="shared" si="309"/>
        <v>-0.14675014573015255</v>
      </c>
      <c r="BF131" s="225">
        <f t="shared" si="309"/>
        <v>-0.10730927901079723</v>
      </c>
      <c r="BG131" s="225">
        <f t="shared" si="309"/>
        <v>-4.9630097101462933E-2</v>
      </c>
      <c r="BH131" s="225">
        <f t="shared" si="309"/>
        <v>-1.2017943344354367</v>
      </c>
      <c r="BI131" s="225">
        <f t="shared" si="310"/>
        <v>-1.2514244315368996</v>
      </c>
      <c r="BO131" t="str">
        <f t="shared" si="322"/>
        <v>42 Secretarial and related occupations</v>
      </c>
      <c r="BP131" s="225">
        <f t="shared" si="311"/>
        <v>-0.52997964981017498</v>
      </c>
      <c r="BQ131" s="225">
        <f t="shared" si="311"/>
        <v>-0.39075812651778596</v>
      </c>
      <c r="BR131" s="225">
        <f t="shared" si="311"/>
        <v>-0.51425629720913268</v>
      </c>
      <c r="BS131" s="225">
        <f t="shared" si="311"/>
        <v>-1.1479643209054438</v>
      </c>
      <c r="BT131" s="225">
        <f t="shared" si="312"/>
        <v>-1.6622206181145764</v>
      </c>
      <c r="BZ131" t="str">
        <f t="shared" si="323"/>
        <v>42 Secretarial and related occupations</v>
      </c>
      <c r="CA131" s="278">
        <f t="shared" si="313"/>
        <v>-0.35682936629022333</v>
      </c>
      <c r="CB131" s="278">
        <f t="shared" si="313"/>
        <v>-0.35773086405262555</v>
      </c>
      <c r="CC131" s="278">
        <f t="shared" si="313"/>
        <v>-0.46322417009681183</v>
      </c>
      <c r="CD131" s="278">
        <f t="shared" si="313"/>
        <v>-0.98806530451163588</v>
      </c>
      <c r="CE131" s="278">
        <f t="shared" si="314"/>
        <v>-1.4512894746084477</v>
      </c>
      <c r="CK131" t="str">
        <f t="shared" si="324"/>
        <v>42 Secretarial and related occupations</v>
      </c>
      <c r="CL131" s="278">
        <f t="shared" si="315"/>
        <v>-0.19348653761338319</v>
      </c>
      <c r="CM131" s="278">
        <f t="shared" si="315"/>
        <v>8.9201441972074025E-2</v>
      </c>
      <c r="CN131" s="278">
        <f t="shared" si="315"/>
        <v>-0.1434686139887168</v>
      </c>
      <c r="CO131" s="278">
        <f t="shared" si="315"/>
        <v>-0.1094559575387401</v>
      </c>
      <c r="CP131" s="278">
        <f t="shared" si="316"/>
        <v>-0.2529245715274569</v>
      </c>
    </row>
    <row r="132" spans="1:94">
      <c r="A132" t="str">
        <f t="shared" si="298"/>
        <v>51 Skilled agricultural and related trades</v>
      </c>
      <c r="B132" s="225">
        <f t="shared" si="299"/>
        <v>2.1393357637355288E-3</v>
      </c>
      <c r="C132" s="225">
        <f t="shared" si="299"/>
        <v>-2.0892873058673163E-3</v>
      </c>
      <c r="D132" s="225">
        <f t="shared" si="299"/>
        <v>1.6097070942547361E-3</v>
      </c>
      <c r="E132" s="225">
        <f t="shared" si="299"/>
        <v>7.6230343038878792E-3</v>
      </c>
      <c r="F132" s="225">
        <f t="shared" si="300"/>
        <v>9.2327413981426153E-3</v>
      </c>
      <c r="L132" t="str">
        <f t="shared" si="317"/>
        <v>51 Skilled agricultural and related trades</v>
      </c>
      <c r="M132" s="225">
        <f t="shared" si="301"/>
        <v>3.9939998065995769E-4</v>
      </c>
      <c r="N132" s="225">
        <f t="shared" si="301"/>
        <v>-9.0601421050280559E-3</v>
      </c>
      <c r="O132" s="225">
        <f t="shared" si="301"/>
        <v>9.4357900791622179E-3</v>
      </c>
      <c r="P132" s="225">
        <f t="shared" si="301"/>
        <v>2.1609843302458229E-2</v>
      </c>
      <c r="Q132" s="225">
        <f t="shared" si="302"/>
        <v>3.1045633381620447E-2</v>
      </c>
      <c r="W132" t="str">
        <f t="shared" si="318"/>
        <v>51 Skilled agricultural and related trades</v>
      </c>
      <c r="X132" s="225">
        <f t="shared" si="303"/>
        <v>-0.12927700513327905</v>
      </c>
      <c r="Y132" s="225">
        <f t="shared" si="303"/>
        <v>-2.6769259143747892E-2</v>
      </c>
      <c r="Z132" s="225">
        <f t="shared" si="303"/>
        <v>3.6540205104163226E-2</v>
      </c>
      <c r="AA132" s="225">
        <f t="shared" si="303"/>
        <v>0.13096133519646802</v>
      </c>
      <c r="AB132" s="225">
        <f t="shared" si="304"/>
        <v>0.16750154030063125</v>
      </c>
      <c r="AH132" t="str">
        <f t="shared" si="319"/>
        <v>51 Skilled agricultural and related trades</v>
      </c>
      <c r="AI132" s="225">
        <f t="shared" si="305"/>
        <v>-2.2797900105136576E-2</v>
      </c>
      <c r="AJ132" s="225">
        <f t="shared" si="305"/>
        <v>-2.1204741591589665E-2</v>
      </c>
      <c r="AK132" s="225">
        <f t="shared" si="305"/>
        <v>2.224759465188908E-2</v>
      </c>
      <c r="AL132" s="225">
        <f t="shared" si="305"/>
        <v>5.4851900302058526E-2</v>
      </c>
      <c r="AM132" s="225">
        <f t="shared" si="306"/>
        <v>7.7099494953947606E-2</v>
      </c>
      <c r="AS132" t="str">
        <f t="shared" si="320"/>
        <v>51 Skilled agricultural and related trades</v>
      </c>
      <c r="AT132" s="225">
        <f t="shared" si="307"/>
        <v>-4.6157679564065357E-2</v>
      </c>
      <c r="AU132" s="225">
        <f t="shared" si="307"/>
        <v>-3.4087490926369868E-2</v>
      </c>
      <c r="AV132" s="225">
        <f t="shared" si="307"/>
        <v>3.576492496632766E-2</v>
      </c>
      <c r="AW132" s="225">
        <f t="shared" si="307"/>
        <v>0.15492174048390828</v>
      </c>
      <c r="AX132" s="225">
        <f t="shared" si="308"/>
        <v>0.19068666545023594</v>
      </c>
      <c r="BD132" t="str">
        <f t="shared" si="321"/>
        <v>51 Skilled agricultural and related trades</v>
      </c>
      <c r="BE132" s="225">
        <f t="shared" si="309"/>
        <v>-1.5865283798381369E-2</v>
      </c>
      <c r="BF132" s="225">
        <f t="shared" si="309"/>
        <v>-0.12638097692658595</v>
      </c>
      <c r="BG132" s="225">
        <f t="shared" si="309"/>
        <v>8.3681328599448102E-3</v>
      </c>
      <c r="BH132" s="225">
        <f t="shared" si="309"/>
        <v>4.7794146522124492E-2</v>
      </c>
      <c r="BI132" s="225">
        <f t="shared" si="310"/>
        <v>5.6162279382069302E-2</v>
      </c>
      <c r="BO132" t="str">
        <f t="shared" si="322"/>
        <v>51 Skilled agricultural and related trades</v>
      </c>
      <c r="BP132" s="225">
        <f t="shared" si="311"/>
        <v>-6.2517306927102556E-2</v>
      </c>
      <c r="BQ132" s="225">
        <f t="shared" si="311"/>
        <v>-0.25769995025611836</v>
      </c>
      <c r="BR132" s="225">
        <f t="shared" si="311"/>
        <v>4.6972113159089446E-3</v>
      </c>
      <c r="BS132" s="225">
        <f t="shared" si="311"/>
        <v>-4.615630375495916E-2</v>
      </c>
      <c r="BT132" s="225">
        <f t="shared" si="312"/>
        <v>-4.1459092439050216E-2</v>
      </c>
      <c r="BZ132" t="str">
        <f t="shared" si="323"/>
        <v>51 Skilled agricultural and related trades</v>
      </c>
      <c r="CA132" s="278">
        <f t="shared" si="313"/>
        <v>-0.11250050196974948</v>
      </c>
      <c r="CB132" s="278">
        <f t="shared" si="313"/>
        <v>-6.5214312544092934E-3</v>
      </c>
      <c r="CC132" s="278">
        <f t="shared" si="313"/>
        <v>-3.3317581058991186E-2</v>
      </c>
      <c r="CD132" s="278">
        <f t="shared" si="313"/>
        <v>0.12152296099633331</v>
      </c>
      <c r="CE132" s="278">
        <f t="shared" si="314"/>
        <v>8.8205379937342121E-2</v>
      </c>
      <c r="CK132" t="str">
        <f t="shared" si="324"/>
        <v>51 Skilled agricultural and related trades</v>
      </c>
      <c r="CL132" s="278">
        <f t="shared" si="315"/>
        <v>-0.13814767298611663</v>
      </c>
      <c r="CM132" s="278">
        <f t="shared" si="315"/>
        <v>-0.12963291160838697</v>
      </c>
      <c r="CN132" s="278">
        <f t="shared" si="315"/>
        <v>-0.1001607896458363</v>
      </c>
      <c r="CO132" s="278">
        <f t="shared" si="315"/>
        <v>-0.13644178731801729</v>
      </c>
      <c r="CP132" s="278">
        <f t="shared" si="316"/>
        <v>-0.23660257696385359</v>
      </c>
    </row>
    <row r="133" spans="1:94">
      <c r="A133" t="str">
        <f t="shared" si="298"/>
        <v>52 Skilled metal, electrical and electronic trades</v>
      </c>
      <c r="B133" s="225">
        <f t="shared" si="299"/>
        <v>-2.1972915386269404E-3</v>
      </c>
      <c r="C133" s="225">
        <f t="shared" si="299"/>
        <v>-3.9027531444214489E-3</v>
      </c>
      <c r="D133" s="225">
        <f t="shared" si="299"/>
        <v>2.8158485092456432E-3</v>
      </c>
      <c r="E133" s="225">
        <f t="shared" si="299"/>
        <v>6.4294316469871403E-3</v>
      </c>
      <c r="F133" s="225">
        <f t="shared" si="300"/>
        <v>9.2452801562327835E-3</v>
      </c>
      <c r="L133" t="str">
        <f t="shared" si="317"/>
        <v>52 Skilled metal, electrical and electronic trades</v>
      </c>
      <c r="M133" s="225">
        <f t="shared" si="301"/>
        <v>0.10998602482801983</v>
      </c>
      <c r="N133" s="225">
        <f t="shared" si="301"/>
        <v>-0.16597731267207255</v>
      </c>
      <c r="O133" s="225">
        <f t="shared" si="301"/>
        <v>0.20024302264726118</v>
      </c>
      <c r="P133" s="225">
        <f t="shared" si="301"/>
        <v>0.33800219055252712</v>
      </c>
      <c r="Q133" s="225">
        <f t="shared" si="302"/>
        <v>0.53824521319978835</v>
      </c>
      <c r="W133" t="str">
        <f t="shared" si="318"/>
        <v>52 Skilled metal, electrical and electronic trades</v>
      </c>
      <c r="X133" s="225">
        <f t="shared" si="303"/>
        <v>-9.3625811409825177E-2</v>
      </c>
      <c r="Y133" s="225">
        <f t="shared" si="303"/>
        <v>-0.26375390040745716</v>
      </c>
      <c r="Z133" s="225">
        <f t="shared" si="303"/>
        <v>0.174695870820331</v>
      </c>
      <c r="AA133" s="225">
        <f t="shared" si="303"/>
        <v>0.23620749874622993</v>
      </c>
      <c r="AB133" s="225">
        <f t="shared" si="304"/>
        <v>0.41090336956656093</v>
      </c>
      <c r="AH133" t="str">
        <f t="shared" si="319"/>
        <v>52 Skilled metal, electrical and electronic trades</v>
      </c>
      <c r="AI133" s="225">
        <f t="shared" si="305"/>
        <v>-5.9695340019323362E-2</v>
      </c>
      <c r="AJ133" s="225">
        <f t="shared" si="305"/>
        <v>-7.5426655625240091E-2</v>
      </c>
      <c r="AK133" s="225">
        <f t="shared" si="305"/>
        <v>3.5587845267206653E-2</v>
      </c>
      <c r="AL133" s="225">
        <f t="shared" si="305"/>
        <v>8.3529260632260849E-2</v>
      </c>
      <c r="AM133" s="225">
        <f t="shared" si="306"/>
        <v>0.1191171058994675</v>
      </c>
      <c r="AS133" t="str">
        <f t="shared" si="320"/>
        <v>52 Skilled metal, electrical and electronic trades</v>
      </c>
      <c r="AT133" s="225">
        <f t="shared" si="307"/>
        <v>-0.26903158239364533</v>
      </c>
      <c r="AU133" s="225">
        <f t="shared" si="307"/>
        <v>-0.28698641793224211</v>
      </c>
      <c r="AV133" s="225">
        <f t="shared" si="307"/>
        <v>5.7352450191538118E-2</v>
      </c>
      <c r="AW133" s="225">
        <f t="shared" si="307"/>
        <v>0.18622535829332887</v>
      </c>
      <c r="AX133" s="225">
        <f t="shared" si="308"/>
        <v>0.24357780848486699</v>
      </c>
      <c r="BD133" t="str">
        <f t="shared" si="321"/>
        <v>52 Skilled metal, electrical and electronic trades</v>
      </c>
      <c r="BE133" s="225">
        <f t="shared" si="309"/>
        <v>0.74643112931881639</v>
      </c>
      <c r="BF133" s="225">
        <f t="shared" si="309"/>
        <v>-2.0345266249656824</v>
      </c>
      <c r="BG133" s="225">
        <f t="shared" si="309"/>
        <v>2.0271266226407292E-2</v>
      </c>
      <c r="BH133" s="225">
        <f t="shared" si="309"/>
        <v>-0.37883935618673448</v>
      </c>
      <c r="BI133" s="225">
        <f t="shared" si="310"/>
        <v>-0.35856808996032719</v>
      </c>
      <c r="BO133" t="str">
        <f t="shared" si="322"/>
        <v>52 Skilled metal, electrical and electronic trades</v>
      </c>
      <c r="BP133" s="225">
        <f t="shared" si="311"/>
        <v>0.12351471843437167</v>
      </c>
      <c r="BQ133" s="225">
        <f t="shared" si="311"/>
        <v>-1.4548464081343315</v>
      </c>
      <c r="BR133" s="225">
        <f t="shared" si="311"/>
        <v>5.5018129284060358E-2</v>
      </c>
      <c r="BS133" s="225">
        <f t="shared" si="311"/>
        <v>-0.82325024982742345</v>
      </c>
      <c r="BT133" s="225">
        <f t="shared" si="312"/>
        <v>-0.7682321205433631</v>
      </c>
      <c r="BZ133" t="str">
        <f t="shared" si="323"/>
        <v>52 Skilled metal, electrical and electronic trades</v>
      </c>
      <c r="CA133" s="278">
        <f t="shared" si="313"/>
        <v>-0.46424971182705255</v>
      </c>
      <c r="CB133" s="278">
        <f t="shared" si="313"/>
        <v>-0.42277949054317476</v>
      </c>
      <c r="CC133" s="278">
        <f t="shared" si="313"/>
        <v>-0.53484008509118564</v>
      </c>
      <c r="CD133" s="278">
        <f t="shared" si="313"/>
        <v>-1.0672929312097315</v>
      </c>
      <c r="CE133" s="278">
        <f t="shared" si="314"/>
        <v>-1.6021330163009171</v>
      </c>
      <c r="CK133" t="str">
        <f t="shared" si="324"/>
        <v>52 Skilled metal, electrical and electronic trades</v>
      </c>
      <c r="CL133" s="278">
        <f t="shared" si="315"/>
        <v>-0.37017278545116117</v>
      </c>
      <c r="CM133" s="278">
        <f t="shared" si="315"/>
        <v>-0.39861134118873776</v>
      </c>
      <c r="CN133" s="278">
        <f t="shared" si="315"/>
        <v>-0.62402232865079343</v>
      </c>
      <c r="CO133" s="278">
        <f t="shared" si="315"/>
        <v>-0.36382516187176728</v>
      </c>
      <c r="CP133" s="278">
        <f t="shared" si="316"/>
        <v>-0.98784749052256071</v>
      </c>
    </row>
    <row r="134" spans="1:94">
      <c r="A134" t="str">
        <f t="shared" si="298"/>
        <v>53 Skilled construction and building trades</v>
      </c>
      <c r="B134" s="225">
        <f t="shared" si="299"/>
        <v>-1.0249948806155748E-3</v>
      </c>
      <c r="C134" s="225">
        <f t="shared" si="299"/>
        <v>-2.1735185776298343E-3</v>
      </c>
      <c r="D134" s="225">
        <f t="shared" si="299"/>
        <v>1.3999472987119501E-3</v>
      </c>
      <c r="E134" s="225">
        <f t="shared" si="299"/>
        <v>1.8273392709360851E-4</v>
      </c>
      <c r="F134" s="225">
        <f t="shared" si="300"/>
        <v>1.5826812258055586E-3</v>
      </c>
      <c r="L134" t="str">
        <f t="shared" si="317"/>
        <v>53 Skilled construction and building trades</v>
      </c>
      <c r="M134" s="225">
        <f t="shared" si="301"/>
        <v>3.9097986049978745E-2</v>
      </c>
      <c r="N134" s="225">
        <f t="shared" si="301"/>
        <v>-5.7496241096228029E-2</v>
      </c>
      <c r="O134" s="225">
        <f t="shared" si="301"/>
        <v>5.0339432787784993E-2</v>
      </c>
      <c r="P134" s="225">
        <f t="shared" si="301"/>
        <v>8.1330720922378141E-2</v>
      </c>
      <c r="Q134" s="225">
        <f t="shared" si="302"/>
        <v>0.13167015371016313</v>
      </c>
      <c r="W134" t="str">
        <f t="shared" si="318"/>
        <v>53 Skilled construction and building trades</v>
      </c>
      <c r="X134" s="225">
        <f t="shared" si="303"/>
        <v>-5.6550596037760803E-2</v>
      </c>
      <c r="Y134" s="225">
        <f t="shared" si="303"/>
        <v>-0.1168759039370012</v>
      </c>
      <c r="Z134" s="225">
        <f t="shared" si="303"/>
        <v>7.030639821025364E-2</v>
      </c>
      <c r="AA134" s="225">
        <f t="shared" si="303"/>
        <v>5.6919313551130335E-2</v>
      </c>
      <c r="AB134" s="225">
        <f t="shared" si="304"/>
        <v>0.12722571176138397</v>
      </c>
      <c r="AH134" t="str">
        <f t="shared" si="319"/>
        <v>53 Skilled construction and building trades</v>
      </c>
      <c r="AI134" s="225">
        <f t="shared" si="305"/>
        <v>2.9178574705269633E-2</v>
      </c>
      <c r="AJ134" s="225">
        <f t="shared" si="305"/>
        <v>-5.0870453029310148E-2</v>
      </c>
      <c r="AK134" s="225">
        <f t="shared" si="305"/>
        <v>5.4722261218026036E-2</v>
      </c>
      <c r="AL134" s="225">
        <f t="shared" si="305"/>
        <v>6.2929052400285512E-2</v>
      </c>
      <c r="AM134" s="225">
        <f t="shared" si="306"/>
        <v>0.11765131361831155</v>
      </c>
      <c r="AS134" t="str">
        <f t="shared" si="320"/>
        <v>53 Skilled construction and building trades</v>
      </c>
      <c r="AT134" s="225">
        <f t="shared" si="307"/>
        <v>5.902690175518932E-2</v>
      </c>
      <c r="AU134" s="225">
        <f t="shared" si="307"/>
        <v>-8.6902417742945604E-2</v>
      </c>
      <c r="AV134" s="225">
        <f t="shared" si="307"/>
        <v>6.2562586414424692E-2</v>
      </c>
      <c r="AW134" s="225">
        <f t="shared" si="307"/>
        <v>1.5942665116711607E-2</v>
      </c>
      <c r="AX134" s="225">
        <f t="shared" si="308"/>
        <v>7.85052515311363E-2</v>
      </c>
      <c r="BD134" t="str">
        <f t="shared" si="321"/>
        <v>53 Skilled construction and building trades</v>
      </c>
      <c r="BE134" s="225">
        <f t="shared" si="309"/>
        <v>1.0489178390600484</v>
      </c>
      <c r="BF134" s="225">
        <f t="shared" si="309"/>
        <v>-1.2190936656380433</v>
      </c>
      <c r="BG134" s="225">
        <f t="shared" si="309"/>
        <v>-4.9242625530703243E-2</v>
      </c>
      <c r="BH134" s="225">
        <f t="shared" si="309"/>
        <v>-0.65895399050885839</v>
      </c>
      <c r="BI134" s="225">
        <f t="shared" si="310"/>
        <v>-0.70819661603956163</v>
      </c>
      <c r="BO134" t="str">
        <f t="shared" si="322"/>
        <v>53 Skilled construction and building trades</v>
      </c>
      <c r="BP134" s="225">
        <f t="shared" si="311"/>
        <v>1.4829373652288433</v>
      </c>
      <c r="BQ134" s="225">
        <f t="shared" si="311"/>
        <v>-1.4646181960273905</v>
      </c>
      <c r="BR134" s="225">
        <f t="shared" si="311"/>
        <v>0.55560736944549749</v>
      </c>
      <c r="BS134" s="225">
        <f t="shared" si="311"/>
        <v>-0.43575344339453981</v>
      </c>
      <c r="BT134" s="225">
        <f t="shared" si="312"/>
        <v>0.11985392605095768</v>
      </c>
      <c r="BZ134" t="str">
        <f t="shared" si="323"/>
        <v>53 Skilled construction and building trades</v>
      </c>
      <c r="CA134" s="278">
        <f t="shared" si="313"/>
        <v>-2.5126820088763324E-3</v>
      </c>
      <c r="CB134" s="278">
        <f t="shared" si="313"/>
        <v>-0.41046418326935274</v>
      </c>
      <c r="CC134" s="278">
        <f t="shared" si="313"/>
        <v>-0.41097951820249934</v>
      </c>
      <c r="CD134" s="278">
        <f t="shared" si="313"/>
        <v>-0.71462703208442035</v>
      </c>
      <c r="CE134" s="278">
        <f t="shared" si="314"/>
        <v>-1.1256065502869197</v>
      </c>
      <c r="CK134" t="str">
        <f t="shared" si="324"/>
        <v>53 Skilled construction and building trades</v>
      </c>
      <c r="CL134" s="278">
        <f t="shared" si="315"/>
        <v>6.4855995300455493E-2</v>
      </c>
      <c r="CM134" s="278">
        <f t="shared" si="315"/>
        <v>-0.45758897609740878</v>
      </c>
      <c r="CN134" s="278">
        <f t="shared" si="315"/>
        <v>-0.99501873993036916</v>
      </c>
      <c r="CO134" s="278">
        <f t="shared" si="315"/>
        <v>-0.81955930671021993</v>
      </c>
      <c r="CP134" s="278">
        <f t="shared" si="316"/>
        <v>-1.8145780466405892</v>
      </c>
    </row>
    <row r="135" spans="1:94">
      <c r="A135" t="str">
        <f t="shared" si="298"/>
        <v>54 Textiles, printing and other skilled trades</v>
      </c>
      <c r="B135" s="225">
        <f t="shared" si="299"/>
        <v>1.7990939193150007E-4</v>
      </c>
      <c r="C135" s="225">
        <f t="shared" si="299"/>
        <v>-4.1955511705241491E-3</v>
      </c>
      <c r="D135" s="225">
        <f t="shared" si="299"/>
        <v>1.1714111326503934E-2</v>
      </c>
      <c r="E135" s="225">
        <f t="shared" si="299"/>
        <v>1.2953991872178557E-2</v>
      </c>
      <c r="F135" s="225">
        <f t="shared" si="300"/>
        <v>2.4668103198682491E-2</v>
      </c>
      <c r="L135" t="str">
        <f t="shared" si="317"/>
        <v>54 Textiles, printing and other skilled trades</v>
      </c>
      <c r="M135" s="225">
        <f t="shared" si="301"/>
        <v>6.1269823186562627E-2</v>
      </c>
      <c r="N135" s="225">
        <f t="shared" si="301"/>
        <v>1.708871970245962E-2</v>
      </c>
      <c r="O135" s="225">
        <f t="shared" si="301"/>
        <v>9.0324817156293757E-2</v>
      </c>
      <c r="P135" s="225">
        <f t="shared" si="301"/>
        <v>0.22521855904332794</v>
      </c>
      <c r="Q135" s="225">
        <f t="shared" si="302"/>
        <v>0.31554337619962169</v>
      </c>
      <c r="W135" t="str">
        <f t="shared" si="318"/>
        <v>54 Textiles, printing and other skilled trades</v>
      </c>
      <c r="X135" s="225">
        <f t="shared" si="303"/>
        <v>-0.10808029532953434</v>
      </c>
      <c r="Y135" s="225">
        <f t="shared" si="303"/>
        <v>6.3306335496683297E-2</v>
      </c>
      <c r="Z135" s="225">
        <f t="shared" si="303"/>
        <v>0.13666732348160893</v>
      </c>
      <c r="AA135" s="225">
        <f t="shared" si="303"/>
        <v>0.20302381782024659</v>
      </c>
      <c r="AB135" s="225">
        <f t="shared" si="304"/>
        <v>0.33969114130185551</v>
      </c>
      <c r="AH135" t="str">
        <f t="shared" si="319"/>
        <v>54 Textiles, printing and other skilled trades</v>
      </c>
      <c r="AI135" s="225">
        <f t="shared" si="305"/>
        <v>-5.9881138475598061E-2</v>
      </c>
      <c r="AJ135" s="225">
        <f t="shared" si="305"/>
        <v>4.7591456247854436E-2</v>
      </c>
      <c r="AK135" s="225">
        <f t="shared" si="305"/>
        <v>1.2484755023649041E-2</v>
      </c>
      <c r="AL135" s="225">
        <f t="shared" si="305"/>
        <v>5.2763699434260625E-2</v>
      </c>
      <c r="AM135" s="225">
        <f t="shared" si="306"/>
        <v>6.5248454457909666E-2</v>
      </c>
      <c r="AS135" t="str">
        <f t="shared" si="320"/>
        <v>54 Textiles, printing and other skilled trades</v>
      </c>
      <c r="AT135" s="225">
        <f t="shared" si="307"/>
        <v>-6.7976468775324372E-2</v>
      </c>
      <c r="AU135" s="225">
        <f t="shared" si="307"/>
        <v>4.114929628824221E-2</v>
      </c>
      <c r="AV135" s="225">
        <f t="shared" si="307"/>
        <v>2.9760502618056017E-2</v>
      </c>
      <c r="AW135" s="225">
        <f t="shared" si="307"/>
        <v>5.5038081000805816E-2</v>
      </c>
      <c r="AX135" s="225">
        <f t="shared" si="308"/>
        <v>8.4798583618861834E-2</v>
      </c>
      <c r="BD135" t="str">
        <f t="shared" si="321"/>
        <v>54 Textiles, printing and other skilled trades</v>
      </c>
      <c r="BE135" s="225">
        <f t="shared" si="309"/>
        <v>-2.1846360048247249E-2</v>
      </c>
      <c r="BF135" s="225">
        <f t="shared" si="309"/>
        <v>-0.13177352607671367</v>
      </c>
      <c r="BG135" s="225">
        <f t="shared" si="309"/>
        <v>0.33993010717057937</v>
      </c>
      <c r="BH135" s="225">
        <f t="shared" si="309"/>
        <v>5.2394195220776929E-2</v>
      </c>
      <c r="BI135" s="225">
        <f t="shared" si="310"/>
        <v>0.39232430239135629</v>
      </c>
      <c r="BO135" t="str">
        <f t="shared" si="322"/>
        <v>54 Textiles, printing and other skilled trades</v>
      </c>
      <c r="BP135" s="225">
        <f t="shared" si="311"/>
        <v>-0.29255452469986443</v>
      </c>
      <c r="BQ135" s="225">
        <f t="shared" si="311"/>
        <v>-0.16179238120976747</v>
      </c>
      <c r="BR135" s="225">
        <f t="shared" si="311"/>
        <v>8.7791986720786586E-2</v>
      </c>
      <c r="BS135" s="225">
        <f t="shared" si="311"/>
        <v>-0.21698200294729597</v>
      </c>
      <c r="BT135" s="225">
        <f t="shared" si="312"/>
        <v>-0.12919001622650939</v>
      </c>
      <c r="BZ135" t="str">
        <f t="shared" si="323"/>
        <v>54 Textiles, printing and other skilled trades</v>
      </c>
      <c r="CA135" s="278">
        <f t="shared" si="313"/>
        <v>-0.35369726177738126</v>
      </c>
      <c r="CB135" s="278">
        <f t="shared" si="313"/>
        <v>-5.2519346651109355E-2</v>
      </c>
      <c r="CC135" s="278">
        <f t="shared" si="313"/>
        <v>-0.11036129807276329</v>
      </c>
      <c r="CD135" s="278">
        <f t="shared" si="313"/>
        <v>-0.58148743888422461</v>
      </c>
      <c r="CE135" s="278">
        <f t="shared" si="314"/>
        <v>-0.6918487369569879</v>
      </c>
      <c r="CK135" t="str">
        <f t="shared" si="324"/>
        <v>54 Textiles, printing and other skilled trades</v>
      </c>
      <c r="CL135" s="278">
        <f t="shared" si="315"/>
        <v>-0.38041190510890432</v>
      </c>
      <c r="CM135" s="278">
        <f t="shared" si="315"/>
        <v>6.4442049903984833E-2</v>
      </c>
      <c r="CN135" s="278">
        <f t="shared" si="315"/>
        <v>-0.5090839336732067</v>
      </c>
      <c r="CO135" s="278">
        <f t="shared" si="315"/>
        <v>-0.23636259592250525</v>
      </c>
      <c r="CP135" s="278">
        <f t="shared" si="316"/>
        <v>-0.745446529595712</v>
      </c>
    </row>
    <row r="136" spans="1:94">
      <c r="A136" t="str">
        <f t="shared" si="298"/>
        <v>61 Caring personal service occupations</v>
      </c>
      <c r="B136" s="225">
        <f t="shared" si="299"/>
        <v>8.0017597645837164E-3</v>
      </c>
      <c r="C136" s="225">
        <f t="shared" si="299"/>
        <v>-8.0447615203184386E-5</v>
      </c>
      <c r="D136" s="225">
        <f t="shared" si="299"/>
        <v>1.025911600134706E-2</v>
      </c>
      <c r="E136" s="225">
        <f t="shared" si="299"/>
        <v>2.9405432917370716E-2</v>
      </c>
      <c r="F136" s="225">
        <f t="shared" si="300"/>
        <v>3.9664548918717776E-2</v>
      </c>
      <c r="L136" t="str">
        <f t="shared" si="317"/>
        <v>61 Caring personal service occupations</v>
      </c>
      <c r="M136" s="225">
        <f t="shared" si="301"/>
        <v>0.53058090070714958</v>
      </c>
      <c r="N136" s="225">
        <f t="shared" si="301"/>
        <v>5.7384277010836593E-2</v>
      </c>
      <c r="O136" s="225">
        <f t="shared" si="301"/>
        <v>0.73488124699244661</v>
      </c>
      <c r="P136" s="225">
        <f t="shared" si="301"/>
        <v>2.1622396343953696</v>
      </c>
      <c r="Q136" s="225">
        <f t="shared" si="302"/>
        <v>2.8971208813878162</v>
      </c>
      <c r="W136" t="str">
        <f t="shared" si="318"/>
        <v>61 Caring personal service occupations</v>
      </c>
      <c r="X136" s="225">
        <f t="shared" si="303"/>
        <v>0.18949155487742342</v>
      </c>
      <c r="Y136" s="225">
        <f t="shared" si="303"/>
        <v>0.7322674796480042</v>
      </c>
      <c r="Z136" s="225">
        <f t="shared" si="303"/>
        <v>0.76108960509330803</v>
      </c>
      <c r="AA136" s="225">
        <f t="shared" si="303"/>
        <v>1.7446890283095504</v>
      </c>
      <c r="AB136" s="225">
        <f t="shared" si="304"/>
        <v>2.5057786334028584</v>
      </c>
      <c r="AH136" t="str">
        <f t="shared" si="319"/>
        <v>61 Caring personal service occupations</v>
      </c>
      <c r="AI136" s="225">
        <f t="shared" si="305"/>
        <v>-0.26172949716489491</v>
      </c>
      <c r="AJ136" s="225">
        <f t="shared" si="305"/>
        <v>0.67206172886975724</v>
      </c>
      <c r="AK136" s="225">
        <f t="shared" si="305"/>
        <v>-0.19490292838497059</v>
      </c>
      <c r="AL136" s="225">
        <f t="shared" si="305"/>
        <v>0.42636474678255798</v>
      </c>
      <c r="AM136" s="225">
        <f t="shared" si="306"/>
        <v>0.23146181839758739</v>
      </c>
      <c r="AS136" t="str">
        <f t="shared" si="320"/>
        <v>61 Caring personal service occupations</v>
      </c>
      <c r="AT136" s="225">
        <f t="shared" si="307"/>
        <v>3.822986328848188E-2</v>
      </c>
      <c r="AU136" s="225">
        <f t="shared" si="307"/>
        <v>0.34585312950541391</v>
      </c>
      <c r="AV136" s="225">
        <f t="shared" si="307"/>
        <v>-3.8964618945065865E-2</v>
      </c>
      <c r="AW136" s="225">
        <f t="shared" si="307"/>
        <v>0.35551286834533879</v>
      </c>
      <c r="AX136" s="225">
        <f t="shared" si="308"/>
        <v>0.31654824940027293</v>
      </c>
      <c r="BD136" t="str">
        <f t="shared" si="321"/>
        <v>61 Caring personal service occupations</v>
      </c>
      <c r="BE136" s="225">
        <f t="shared" si="309"/>
        <v>2.6648396620315076</v>
      </c>
      <c r="BF136" s="225">
        <f t="shared" si="309"/>
        <v>-0.75839420874518915</v>
      </c>
      <c r="BG136" s="225">
        <f t="shared" si="309"/>
        <v>0.92024752011927369</v>
      </c>
      <c r="BH136" s="225">
        <f t="shared" si="309"/>
        <v>1.2009424618773501</v>
      </c>
      <c r="BI136" s="225">
        <f t="shared" si="310"/>
        <v>2.1211899819966238</v>
      </c>
      <c r="BO136" t="str">
        <f t="shared" si="322"/>
        <v>61 Caring personal service occupations</v>
      </c>
      <c r="BP136" s="225">
        <f t="shared" si="311"/>
        <v>0.86136723486244016</v>
      </c>
      <c r="BQ136" s="225">
        <f t="shared" si="311"/>
        <v>-2.108458106455549</v>
      </c>
      <c r="BR136" s="225">
        <f t="shared" si="311"/>
        <v>0.12503689842173316</v>
      </c>
      <c r="BS136" s="225">
        <f t="shared" si="311"/>
        <v>-1.8666330238946696</v>
      </c>
      <c r="BT136" s="225">
        <f t="shared" si="312"/>
        <v>-1.7415961254729364</v>
      </c>
      <c r="BZ136" t="str">
        <f t="shared" si="323"/>
        <v>61 Caring personal service occupations</v>
      </c>
      <c r="CA136" s="278">
        <f t="shared" si="313"/>
        <v>-1.3546429329866918</v>
      </c>
      <c r="CB136" s="278">
        <f t="shared" si="313"/>
        <v>-0.32664641133219141</v>
      </c>
      <c r="CC136" s="278">
        <f t="shared" si="313"/>
        <v>-0.44133398725955875</v>
      </c>
      <c r="CD136" s="278">
        <f t="shared" si="313"/>
        <v>-0.28580105681477852</v>
      </c>
      <c r="CE136" s="278">
        <f t="shared" si="314"/>
        <v>-0.72713504407433727</v>
      </c>
      <c r="CK136" t="str">
        <f t="shared" si="324"/>
        <v>61 Caring personal service occupations</v>
      </c>
      <c r="CL136" s="278">
        <f t="shared" si="315"/>
        <v>-0.16349549287131038</v>
      </c>
      <c r="CM136" s="278">
        <f t="shared" si="315"/>
        <v>3.3157164970410435E-2</v>
      </c>
      <c r="CN136" s="278">
        <f t="shared" si="315"/>
        <v>-0.11009558747348713</v>
      </c>
      <c r="CO136" s="278">
        <f t="shared" si="315"/>
        <v>-0.11051645192734655</v>
      </c>
      <c r="CP136" s="278">
        <f t="shared" si="316"/>
        <v>-0.22061203940083368</v>
      </c>
    </row>
    <row r="137" spans="1:94">
      <c r="A137" t="str">
        <f t="shared" si="298"/>
        <v>62 Leisure, travel and related personal service occupations</v>
      </c>
      <c r="B137" s="225">
        <f t="shared" si="299"/>
        <v>7.1385751013128603E-3</v>
      </c>
      <c r="C137" s="225">
        <f t="shared" si="299"/>
        <v>1.0781677305704979E-3</v>
      </c>
      <c r="D137" s="225">
        <f t="shared" si="299"/>
        <v>6.7560853776072981E-3</v>
      </c>
      <c r="E137" s="225">
        <f t="shared" si="299"/>
        <v>1.7636278518566917E-2</v>
      </c>
      <c r="F137" s="225">
        <f t="shared" si="300"/>
        <v>2.4392363896174215E-2</v>
      </c>
      <c r="L137" t="str">
        <f t="shared" si="317"/>
        <v>62 Leisure, travel and related personal service occupations</v>
      </c>
      <c r="M137" s="225">
        <f t="shared" si="301"/>
        <v>3.8180607371532754E-2</v>
      </c>
      <c r="N137" s="225">
        <f t="shared" si="301"/>
        <v>-8.4299066138690537E-4</v>
      </c>
      <c r="O137" s="225">
        <f t="shared" si="301"/>
        <v>3.2748931279703242E-2</v>
      </c>
      <c r="P137" s="225">
        <f t="shared" si="301"/>
        <v>0.19715363271083819</v>
      </c>
      <c r="Q137" s="225">
        <f t="shared" si="302"/>
        <v>0.22990256399054143</v>
      </c>
      <c r="W137" t="str">
        <f t="shared" si="318"/>
        <v>62 Leisure, travel and related personal service occupations</v>
      </c>
      <c r="X137" s="225">
        <f t="shared" si="303"/>
        <v>-1.2902748403200159E-2</v>
      </c>
      <c r="Y137" s="225">
        <f t="shared" si="303"/>
        <v>5.1540010468275499E-2</v>
      </c>
      <c r="Z137" s="225">
        <f t="shared" si="303"/>
        <v>0.13025727924058828</v>
      </c>
      <c r="AA137" s="225">
        <f t="shared" si="303"/>
        <v>0.42101247752504078</v>
      </c>
      <c r="AB137" s="225">
        <f t="shared" si="304"/>
        <v>0.55126975676562906</v>
      </c>
      <c r="AH137" t="str">
        <f t="shared" si="319"/>
        <v>62 Leisure, travel and related personal service occupations</v>
      </c>
      <c r="AI137" s="225">
        <f t="shared" si="305"/>
        <v>-2.8584738483114935E-2</v>
      </c>
      <c r="AJ137" s="225">
        <f t="shared" si="305"/>
        <v>4.7430607852962381E-2</v>
      </c>
      <c r="AK137" s="225">
        <f t="shared" si="305"/>
        <v>1.7426126576067569E-2</v>
      </c>
      <c r="AL137" s="225">
        <f t="shared" si="305"/>
        <v>0.20915258754497101</v>
      </c>
      <c r="AM137" s="225">
        <f t="shared" si="306"/>
        <v>0.22657871412103858</v>
      </c>
      <c r="AS137" t="str">
        <f t="shared" si="320"/>
        <v>62 Leisure, travel and related personal service occupations</v>
      </c>
      <c r="AT137" s="225">
        <f t="shared" si="307"/>
        <v>-5.0396684957026761E-2</v>
      </c>
      <c r="AU137" s="225">
        <f t="shared" si="307"/>
        <v>7.4626758902232249E-2</v>
      </c>
      <c r="AV137" s="225">
        <f t="shared" si="307"/>
        <v>3.2563960868146391E-2</v>
      </c>
      <c r="AW137" s="225">
        <f t="shared" si="307"/>
        <v>0.26529008247691177</v>
      </c>
      <c r="AX137" s="225">
        <f t="shared" si="308"/>
        <v>0.29785404334505816</v>
      </c>
      <c r="BD137" t="str">
        <f t="shared" si="321"/>
        <v>62 Leisure, travel and related personal service occupations</v>
      </c>
      <c r="BE137" s="225">
        <f t="shared" si="309"/>
        <v>-0.36496974301619733</v>
      </c>
      <c r="BF137" s="225">
        <f t="shared" si="309"/>
        <v>-0.23875959395621926</v>
      </c>
      <c r="BG137" s="225">
        <f t="shared" si="309"/>
        <v>-0.17260210162522682</v>
      </c>
      <c r="BH137" s="225">
        <f t="shared" si="309"/>
        <v>-0.18029085369142406</v>
      </c>
      <c r="BI137" s="225">
        <f t="shared" si="310"/>
        <v>-0.35289295531665088</v>
      </c>
      <c r="BO137" t="str">
        <f t="shared" si="322"/>
        <v>62 Leisure, travel and related personal service occupations</v>
      </c>
      <c r="BP137" s="225">
        <f t="shared" si="311"/>
        <v>-0.42254506690161886</v>
      </c>
      <c r="BQ137" s="225">
        <f t="shared" si="311"/>
        <v>-0.54347850636969497</v>
      </c>
      <c r="BR137" s="225">
        <f t="shared" si="311"/>
        <v>-0.16992022087013137</v>
      </c>
      <c r="BS137" s="225">
        <f t="shared" si="311"/>
        <v>-0.40351244116874918</v>
      </c>
      <c r="BT137" s="225">
        <f t="shared" si="312"/>
        <v>-0.57343266203888055</v>
      </c>
      <c r="BZ137" t="str">
        <f t="shared" si="323"/>
        <v>62 Leisure, travel and related personal service occupations</v>
      </c>
      <c r="CA137" s="278">
        <f t="shared" si="313"/>
        <v>-0.30105192281165749</v>
      </c>
      <c r="CB137" s="278">
        <f t="shared" si="313"/>
        <v>-0.25190034785881577</v>
      </c>
      <c r="CC137" s="278">
        <f t="shared" si="313"/>
        <v>-0.22642312049200153</v>
      </c>
      <c r="CD137" s="278">
        <f t="shared" si="313"/>
        <v>-0.43020191612882341</v>
      </c>
      <c r="CE137" s="278">
        <f t="shared" si="314"/>
        <v>-0.65662503662082494</v>
      </c>
      <c r="CK137" t="str">
        <f t="shared" si="324"/>
        <v>62 Leisure, travel and related personal service occupations</v>
      </c>
      <c r="CL137" s="278">
        <f t="shared" si="315"/>
        <v>-0.31878587095861466</v>
      </c>
      <c r="CM137" s="278">
        <f t="shared" si="315"/>
        <v>1.3935891127545674E-2</v>
      </c>
      <c r="CN137" s="278">
        <f t="shared" si="315"/>
        <v>-0.35139438220956626</v>
      </c>
      <c r="CO137" s="278">
        <f t="shared" si="315"/>
        <v>-0.16444960737074937</v>
      </c>
      <c r="CP137" s="278">
        <f t="shared" si="316"/>
        <v>-0.51584398958031563</v>
      </c>
    </row>
    <row r="138" spans="1:94">
      <c r="A138" t="str">
        <f t="shared" si="298"/>
        <v>63 Community and civil enforcement occupations</v>
      </c>
      <c r="B138" s="225">
        <f t="shared" si="299"/>
        <v>6.3158904836685707E-4</v>
      </c>
      <c r="C138" s="225">
        <f t="shared" si="299"/>
        <v>-4.1121833303197101E-4</v>
      </c>
      <c r="D138" s="225">
        <f t="shared" si="299"/>
        <v>6.8506667808843611E-4</v>
      </c>
      <c r="E138" s="225">
        <f t="shared" si="299"/>
        <v>1.1048698510439945E-3</v>
      </c>
      <c r="F138" s="225">
        <f t="shared" si="300"/>
        <v>1.7899365291324306E-3</v>
      </c>
      <c r="L138" t="str">
        <f t="shared" si="317"/>
        <v>63 Community and civil enforcement occupations</v>
      </c>
      <c r="M138" s="225">
        <f t="shared" si="301"/>
        <v>2.7341668867081788E-3</v>
      </c>
      <c r="N138" s="225">
        <f t="shared" si="301"/>
        <v>-2.0731181342386121E-4</v>
      </c>
      <c r="O138" s="225">
        <f t="shared" si="301"/>
        <v>1.870475233089787E-3</v>
      </c>
      <c r="P138" s="225">
        <f t="shared" si="301"/>
        <v>1.1360817051261872E-2</v>
      </c>
      <c r="Q138" s="225">
        <f t="shared" si="302"/>
        <v>1.3231292284351659E-2</v>
      </c>
      <c r="W138" t="str">
        <f t="shared" si="318"/>
        <v>63 Community and civil enforcement occupations</v>
      </c>
      <c r="X138" s="225">
        <f t="shared" si="303"/>
        <v>-4.0185610301354119E-3</v>
      </c>
      <c r="Y138" s="225">
        <f t="shared" si="303"/>
        <v>8.1631198934735416E-3</v>
      </c>
      <c r="Z138" s="225">
        <f t="shared" si="303"/>
        <v>3.8483474347710683E-3</v>
      </c>
      <c r="AA138" s="225">
        <f t="shared" si="303"/>
        <v>1.9554078642584488E-2</v>
      </c>
      <c r="AB138" s="225">
        <f t="shared" si="304"/>
        <v>2.3402426077355556E-2</v>
      </c>
      <c r="AH138" t="str">
        <f t="shared" si="319"/>
        <v>63 Community and civil enforcement occupations</v>
      </c>
      <c r="AI138" s="225">
        <f t="shared" si="305"/>
        <v>-3.1399639650660366E-3</v>
      </c>
      <c r="AJ138" s="225">
        <f t="shared" si="305"/>
        <v>4.8015362405662079E-3</v>
      </c>
      <c r="AK138" s="225">
        <f t="shared" si="305"/>
        <v>-3.1835089485617828E-3</v>
      </c>
      <c r="AL138" s="225">
        <f t="shared" si="305"/>
        <v>5.2075038137558427E-3</v>
      </c>
      <c r="AM138" s="225">
        <f t="shared" si="306"/>
        <v>2.0239948651940599E-3</v>
      </c>
      <c r="AS138" t="str">
        <f t="shared" si="320"/>
        <v>63 Community and civil enforcement occupations</v>
      </c>
      <c r="AT138" s="225">
        <f t="shared" si="307"/>
        <v>-3.2736513843136597E-3</v>
      </c>
      <c r="AU138" s="225">
        <f t="shared" si="307"/>
        <v>4.1452964449032355E-3</v>
      </c>
      <c r="AV138" s="225">
        <f t="shared" si="307"/>
        <v>-3.8802304243547789E-3</v>
      </c>
      <c r="AW138" s="225">
        <f t="shared" si="307"/>
        <v>1.4173121297321213E-3</v>
      </c>
      <c r="AX138" s="225">
        <f t="shared" si="308"/>
        <v>-2.4629182946226576E-3</v>
      </c>
      <c r="BD138" t="str">
        <f t="shared" si="321"/>
        <v>63 Community and civil enforcement occupations</v>
      </c>
      <c r="BE138" s="225">
        <f t="shared" si="309"/>
        <v>-1.917782730084009E-2</v>
      </c>
      <c r="BF138" s="225">
        <f t="shared" si="309"/>
        <v>1.9051113366343651E-2</v>
      </c>
      <c r="BG138" s="225">
        <f t="shared" si="309"/>
        <v>-2.2737383522666452E-2</v>
      </c>
      <c r="BH138" s="225">
        <f t="shared" si="309"/>
        <v>8.6283551801164954E-3</v>
      </c>
      <c r="BI138" s="225">
        <f t="shared" si="310"/>
        <v>-1.4109028342549956E-2</v>
      </c>
      <c r="BO138" t="str">
        <f t="shared" si="322"/>
        <v>63 Community and civil enforcement occupations</v>
      </c>
      <c r="BP138" s="225">
        <f t="shared" si="311"/>
        <v>-1.3616979174027641E-2</v>
      </c>
      <c r="BQ138" s="225">
        <f t="shared" si="311"/>
        <v>1.4248412988479467E-2</v>
      </c>
      <c r="BR138" s="225">
        <f t="shared" si="311"/>
        <v>-2.5183564759499538E-2</v>
      </c>
      <c r="BS138" s="225">
        <f t="shared" si="311"/>
        <v>4.9194576555024044E-3</v>
      </c>
      <c r="BT138" s="225">
        <f t="shared" si="312"/>
        <v>-2.0264107103997134E-2</v>
      </c>
      <c r="BZ138" t="str">
        <f t="shared" si="323"/>
        <v>63 Community and civil enforcement occupations</v>
      </c>
      <c r="CA138" s="278">
        <f t="shared" si="313"/>
        <v>-1.8773780751053459E-2</v>
      </c>
      <c r="CB138" s="278">
        <f t="shared" si="313"/>
        <v>1.6938094583601349E-2</v>
      </c>
      <c r="CC138" s="278">
        <f t="shared" si="313"/>
        <v>-2.9157952584144234E-2</v>
      </c>
      <c r="CD138" s="278">
        <f t="shared" si="313"/>
        <v>-1.1824888687910158E-2</v>
      </c>
      <c r="CE138" s="278">
        <f t="shared" si="314"/>
        <v>-4.0982841272054392E-2</v>
      </c>
      <c r="CK138" t="str">
        <f t="shared" si="324"/>
        <v>63 Community and civil enforcement occupations</v>
      </c>
      <c r="CL138" s="278">
        <f t="shared" si="315"/>
        <v>-2.057256902828962E-2</v>
      </c>
      <c r="CM138" s="278">
        <f t="shared" si="315"/>
        <v>1.2742268233782841E-2</v>
      </c>
      <c r="CN138" s="278">
        <f t="shared" si="315"/>
        <v>-2.8314400526751514E-2</v>
      </c>
      <c r="CO138" s="278">
        <f t="shared" si="315"/>
        <v>-6.203152720876467E-3</v>
      </c>
      <c r="CP138" s="278">
        <f t="shared" si="316"/>
        <v>-3.451755324762798E-2</v>
      </c>
    </row>
    <row r="139" spans="1:94">
      <c r="A139" t="str">
        <f t="shared" si="298"/>
        <v>71 Sales occupations</v>
      </c>
      <c r="B139" s="225">
        <f t="shared" si="299"/>
        <v>7.1441172281257043E-3</v>
      </c>
      <c r="C139" s="225">
        <f t="shared" si="299"/>
        <v>-6.9938278059342995E-3</v>
      </c>
      <c r="D139" s="225">
        <f t="shared" si="299"/>
        <v>1.2919602647534424E-2</v>
      </c>
      <c r="E139" s="225">
        <f t="shared" si="299"/>
        <v>3.0626927364638651E-2</v>
      </c>
      <c r="F139" s="225">
        <f t="shared" si="300"/>
        <v>4.3546530012173075E-2</v>
      </c>
      <c r="L139" t="str">
        <f t="shared" si="317"/>
        <v>71 Sales occupations</v>
      </c>
      <c r="M139" s="225">
        <f t="shared" si="301"/>
        <v>0.19660637341663378</v>
      </c>
      <c r="N139" s="225">
        <f t="shared" si="301"/>
        <v>-4.1869255287164675E-3</v>
      </c>
      <c r="O139" s="225">
        <f t="shared" si="301"/>
        <v>0.37664173208494123</v>
      </c>
      <c r="P139" s="225">
        <f t="shared" si="301"/>
        <v>1.0202439173584961</v>
      </c>
      <c r="Q139" s="225">
        <f t="shared" si="302"/>
        <v>1.3968856494434374</v>
      </c>
      <c r="W139" t="str">
        <f t="shared" si="318"/>
        <v>71 Sales occupations</v>
      </c>
      <c r="X139" s="225">
        <f t="shared" si="303"/>
        <v>-0.35509253607295976</v>
      </c>
      <c r="Y139" s="225">
        <f t="shared" si="303"/>
        <v>0.51222479943235344</v>
      </c>
      <c r="Z139" s="225">
        <f t="shared" si="303"/>
        <v>0.43676855141845206</v>
      </c>
      <c r="AA139" s="225">
        <f t="shared" si="303"/>
        <v>1.3423954128407489</v>
      </c>
      <c r="AB139" s="225">
        <f t="shared" si="304"/>
        <v>1.779163964259201</v>
      </c>
      <c r="AH139" t="str">
        <f t="shared" si="319"/>
        <v>71 Sales occupations</v>
      </c>
      <c r="AI139" s="225">
        <f t="shared" si="305"/>
        <v>-0.14606607042261577</v>
      </c>
      <c r="AJ139" s="225">
        <f t="shared" si="305"/>
        <v>0.20612099762828628</v>
      </c>
      <c r="AK139" s="225">
        <f t="shared" si="305"/>
        <v>2.7674992300349421E-2</v>
      </c>
      <c r="AL139" s="225">
        <f t="shared" si="305"/>
        <v>0.31954062461382393</v>
      </c>
      <c r="AM139" s="225">
        <f t="shared" si="306"/>
        <v>0.34721561691417335</v>
      </c>
      <c r="AS139" t="str">
        <f t="shared" si="320"/>
        <v>71 Sales occupations</v>
      </c>
      <c r="AT139" s="225">
        <f t="shared" si="307"/>
        <v>-0.15450284928715863</v>
      </c>
      <c r="AU139" s="225">
        <f t="shared" si="307"/>
        <v>0.12362282697520899</v>
      </c>
      <c r="AV139" s="225">
        <f t="shared" si="307"/>
        <v>-2.4099930507318623E-2</v>
      </c>
      <c r="AW139" s="225">
        <f t="shared" si="307"/>
        <v>0.22081751514051517</v>
      </c>
      <c r="AX139" s="225">
        <f t="shared" si="308"/>
        <v>0.19671758463319655</v>
      </c>
      <c r="BD139" t="str">
        <f t="shared" si="321"/>
        <v>71 Sales occupations</v>
      </c>
      <c r="BE139" s="225">
        <f t="shared" si="309"/>
        <v>-0.19268747244401574</v>
      </c>
      <c r="BF139" s="225">
        <f t="shared" si="309"/>
        <v>4.4606714389108681E-2</v>
      </c>
      <c r="BG139" s="225">
        <f t="shared" si="309"/>
        <v>0.24913380337238866</v>
      </c>
      <c r="BH139" s="225">
        <f t="shared" si="309"/>
        <v>3.6531472106323903E-2</v>
      </c>
      <c r="BI139" s="225">
        <f t="shared" si="310"/>
        <v>0.28566527547871257</v>
      </c>
      <c r="BO139" t="str">
        <f t="shared" si="322"/>
        <v>71 Sales occupations</v>
      </c>
      <c r="BP139" s="225">
        <f t="shared" si="311"/>
        <v>-0.85938241358957157</v>
      </c>
      <c r="BQ139" s="225">
        <f t="shared" si="311"/>
        <v>-1.0060503881025618</v>
      </c>
      <c r="BR139" s="225">
        <f t="shared" si="311"/>
        <v>0.10619015065913207</v>
      </c>
      <c r="BS139" s="225">
        <f t="shared" si="311"/>
        <v>-1.3462539369025253</v>
      </c>
      <c r="BT139" s="225">
        <f t="shared" si="312"/>
        <v>-1.2400637862433932</v>
      </c>
      <c r="BZ139" t="str">
        <f t="shared" si="323"/>
        <v>71 Sales occupations</v>
      </c>
      <c r="CA139" s="278">
        <f t="shared" si="313"/>
        <v>-0.85447751890865131</v>
      </c>
      <c r="CB139" s="278">
        <f t="shared" si="313"/>
        <v>-0.43793895671724581</v>
      </c>
      <c r="CC139" s="278">
        <f t="shared" si="313"/>
        <v>-0.92622175635948167</v>
      </c>
      <c r="CD139" s="278">
        <f t="shared" si="313"/>
        <v>-2.2274331425257126</v>
      </c>
      <c r="CE139" s="278">
        <f t="shared" si="314"/>
        <v>-3.1536548988851942</v>
      </c>
      <c r="CK139" t="str">
        <f t="shared" si="324"/>
        <v>71 Sales occupations</v>
      </c>
      <c r="CL139" s="278">
        <f t="shared" si="315"/>
        <v>-1.1290863142345571</v>
      </c>
      <c r="CM139" s="278">
        <f t="shared" si="315"/>
        <v>8.3278380458084555E-2</v>
      </c>
      <c r="CN139" s="278">
        <f t="shared" si="315"/>
        <v>-1.2961131786679119</v>
      </c>
      <c r="CO139" s="278">
        <f t="shared" si="315"/>
        <v>-0.7969529394265219</v>
      </c>
      <c r="CP139" s="278">
        <f t="shared" si="316"/>
        <v>-2.0930661180944337</v>
      </c>
    </row>
    <row r="140" spans="1:94">
      <c r="A140" t="str">
        <f t="shared" si="298"/>
        <v>72 Customer service occupations</v>
      </c>
      <c r="B140" s="225">
        <f t="shared" si="299"/>
        <v>5.5805340738110075E-3</v>
      </c>
      <c r="C140" s="225">
        <f t="shared" si="299"/>
        <v>1.8969222837210142E-3</v>
      </c>
      <c r="D140" s="225">
        <f t="shared" si="299"/>
        <v>2.1465459799195417E-2</v>
      </c>
      <c r="E140" s="225">
        <f t="shared" si="299"/>
        <v>4.3856648689319322E-2</v>
      </c>
      <c r="F140" s="225">
        <f t="shared" si="300"/>
        <v>6.5322108488514746E-2</v>
      </c>
      <c r="L140" t="str">
        <f t="shared" si="317"/>
        <v>72 Customer service occupations</v>
      </c>
      <c r="M140" s="225">
        <f t="shared" si="301"/>
        <v>9.1840090173074485E-2</v>
      </c>
      <c r="N140" s="225">
        <f t="shared" si="301"/>
        <v>2.037777264016738E-2</v>
      </c>
      <c r="O140" s="225">
        <f t="shared" si="301"/>
        <v>0.16012535476102752</v>
      </c>
      <c r="P140" s="225">
        <f t="shared" si="301"/>
        <v>0.37169571421249947</v>
      </c>
      <c r="Q140" s="225">
        <f t="shared" si="302"/>
        <v>0.53182106897352699</v>
      </c>
      <c r="W140" t="str">
        <f t="shared" si="318"/>
        <v>72 Customer service occupations</v>
      </c>
      <c r="X140" s="225">
        <f t="shared" si="303"/>
        <v>-7.4444549014927697E-2</v>
      </c>
      <c r="Y140" s="225">
        <f t="shared" si="303"/>
        <v>0.23119197004560377</v>
      </c>
      <c r="Z140" s="225">
        <f t="shared" si="303"/>
        <v>0.25071006246312311</v>
      </c>
      <c r="AA140" s="225">
        <f t="shared" si="303"/>
        <v>0.50001087226096952</v>
      </c>
      <c r="AB140" s="225">
        <f t="shared" si="304"/>
        <v>0.75072093472409263</v>
      </c>
      <c r="AH140" t="str">
        <f t="shared" si="319"/>
        <v>72 Customer service occupations</v>
      </c>
      <c r="AI140" s="225">
        <f t="shared" si="305"/>
        <v>8.9623235592417583E-5</v>
      </c>
      <c r="AJ140" s="225">
        <f t="shared" si="305"/>
        <v>9.8405951697731642E-2</v>
      </c>
      <c r="AK140" s="225">
        <f t="shared" si="305"/>
        <v>9.3237802743971587E-2</v>
      </c>
      <c r="AL140" s="225">
        <f t="shared" si="305"/>
        <v>0.20841169941851623</v>
      </c>
      <c r="AM140" s="225">
        <f t="shared" si="306"/>
        <v>0.30164950216248781</v>
      </c>
      <c r="AS140" t="str">
        <f t="shared" si="320"/>
        <v>72 Customer service occupations</v>
      </c>
      <c r="AT140" s="225">
        <f t="shared" si="307"/>
        <v>-0.11866602441069862</v>
      </c>
      <c r="AU140" s="225">
        <f t="shared" si="307"/>
        <v>6.8440327637409482E-2</v>
      </c>
      <c r="AV140" s="225">
        <f t="shared" si="307"/>
        <v>0.14038627521940605</v>
      </c>
      <c r="AW140" s="225">
        <f t="shared" si="307"/>
        <v>0.1423119451689705</v>
      </c>
      <c r="AX140" s="225">
        <f t="shared" si="308"/>
        <v>0.28269822038837655</v>
      </c>
      <c r="BD140" t="str">
        <f t="shared" si="321"/>
        <v>72 Customer service occupations</v>
      </c>
      <c r="BE140" s="225">
        <f t="shared" si="309"/>
        <v>3.0989615773433066E-2</v>
      </c>
      <c r="BF140" s="225">
        <f t="shared" si="309"/>
        <v>2.0201758851825957E-2</v>
      </c>
      <c r="BG140" s="225">
        <f t="shared" si="309"/>
        <v>0.30500134596186701</v>
      </c>
      <c r="BH140" s="225">
        <f t="shared" si="309"/>
        <v>0.2389458369028481</v>
      </c>
      <c r="BI140" s="225">
        <f t="shared" si="310"/>
        <v>0.54394718286471511</v>
      </c>
      <c r="BO140" t="str">
        <f t="shared" si="322"/>
        <v>72 Customer service occupations</v>
      </c>
      <c r="BP140" s="225">
        <f t="shared" si="311"/>
        <v>4.63834088239925E-2</v>
      </c>
      <c r="BQ140" s="225">
        <f t="shared" si="311"/>
        <v>-0.27790287035611261</v>
      </c>
      <c r="BR140" s="225">
        <f t="shared" si="311"/>
        <v>0.27858217679445918</v>
      </c>
      <c r="BS140" s="225">
        <f t="shared" si="311"/>
        <v>-0.13970461680074298</v>
      </c>
      <c r="BT140" s="225">
        <f t="shared" si="312"/>
        <v>0.1388775599937162</v>
      </c>
      <c r="BZ140" t="str">
        <f t="shared" si="323"/>
        <v>72 Customer service occupations</v>
      </c>
      <c r="CA140" s="278">
        <f t="shared" si="313"/>
        <v>-0.21512714301710667</v>
      </c>
      <c r="CB140" s="278">
        <f t="shared" si="313"/>
        <v>-2.0626182817766958E-2</v>
      </c>
      <c r="CC140" s="278">
        <f t="shared" si="313"/>
        <v>-8.7387303925075877E-2</v>
      </c>
      <c r="CD140" s="278">
        <f t="shared" si="313"/>
        <v>-0.18233526702512382</v>
      </c>
      <c r="CE140" s="278">
        <f t="shared" si="314"/>
        <v>-0.26972257095019969</v>
      </c>
      <c r="CK140" t="str">
        <f t="shared" si="324"/>
        <v>72 Customer service occupations</v>
      </c>
      <c r="CL140" s="278">
        <f t="shared" si="315"/>
        <v>-7.3344815257436746E-3</v>
      </c>
      <c r="CM140" s="278">
        <f t="shared" si="315"/>
        <v>9.8859438195014415E-2</v>
      </c>
      <c r="CN140" s="278">
        <f t="shared" si="315"/>
        <v>-9.2333033699638745E-2</v>
      </c>
      <c r="CO140" s="278">
        <f t="shared" si="315"/>
        <v>-7.4093927206997368E-2</v>
      </c>
      <c r="CP140" s="278">
        <f t="shared" si="316"/>
        <v>-0.16642696090663611</v>
      </c>
    </row>
    <row r="141" spans="1:94">
      <c r="A141" t="str">
        <f t="shared" si="298"/>
        <v>81 Process, plant and machine operatives</v>
      </c>
      <c r="B141" s="225">
        <f t="shared" si="299"/>
        <v>9.7287115717273227E-3</v>
      </c>
      <c r="C141" s="225">
        <f t="shared" si="299"/>
        <v>-4.2854184986476293E-3</v>
      </c>
      <c r="D141" s="225">
        <f t="shared" si="299"/>
        <v>1.7394667028130931E-2</v>
      </c>
      <c r="E141" s="225">
        <f t="shared" si="299"/>
        <v>5.8588757476518309E-2</v>
      </c>
      <c r="F141" s="225">
        <f t="shared" si="300"/>
        <v>7.5983424504649233E-2</v>
      </c>
      <c r="L141" t="str">
        <f t="shared" si="317"/>
        <v>81 Process, plant and machine operatives</v>
      </c>
      <c r="M141" s="225">
        <f t="shared" si="301"/>
        <v>7.0522949349581865E-2</v>
      </c>
      <c r="N141" s="225">
        <f t="shared" si="301"/>
        <v>-4.1153447429528783E-2</v>
      </c>
      <c r="O141" s="225">
        <f t="shared" si="301"/>
        <v>0.14478386221857495</v>
      </c>
      <c r="P141" s="225">
        <f t="shared" si="301"/>
        <v>0.31074759753847914</v>
      </c>
      <c r="Q141" s="225">
        <f t="shared" si="302"/>
        <v>0.45553145975705411</v>
      </c>
      <c r="W141" t="str">
        <f t="shared" si="318"/>
        <v>81 Process, plant and machine operatives</v>
      </c>
      <c r="X141" s="225">
        <f t="shared" si="303"/>
        <v>-1.8087873251814712E-2</v>
      </c>
      <c r="Y141" s="225">
        <f t="shared" si="303"/>
        <v>-2.7936999653894068E-2</v>
      </c>
      <c r="Z141" s="225">
        <f t="shared" si="303"/>
        <v>0.29775837411351569</v>
      </c>
      <c r="AA141" s="225">
        <f t="shared" si="303"/>
        <v>0.5976848195117308</v>
      </c>
      <c r="AB141" s="225">
        <f t="shared" si="304"/>
        <v>0.89544319362524649</v>
      </c>
      <c r="AH141" t="str">
        <f t="shared" si="319"/>
        <v>81 Process, plant and machine operatives</v>
      </c>
      <c r="AI141" s="225">
        <f t="shared" si="305"/>
        <v>-9.5839516817972648E-3</v>
      </c>
      <c r="AJ141" s="225">
        <f t="shared" si="305"/>
        <v>-1.3913670839488856E-2</v>
      </c>
      <c r="AK141" s="225">
        <f t="shared" si="305"/>
        <v>7.1375729830375656E-2</v>
      </c>
      <c r="AL141" s="225">
        <f t="shared" si="305"/>
        <v>9.2343500690044045E-2</v>
      </c>
      <c r="AM141" s="225">
        <f t="shared" si="306"/>
        <v>0.1637192305204197</v>
      </c>
      <c r="AS141" t="str">
        <f t="shared" si="320"/>
        <v>81 Process, plant and machine operatives</v>
      </c>
      <c r="AT141" s="225">
        <f t="shared" si="307"/>
        <v>-8.7655246365230921E-2</v>
      </c>
      <c r="AU141" s="225">
        <f t="shared" si="307"/>
        <v>-5.8033971506612048E-2</v>
      </c>
      <c r="AV141" s="225">
        <f t="shared" si="307"/>
        <v>0.14507049320789611</v>
      </c>
      <c r="AW141" s="225">
        <f t="shared" si="307"/>
        <v>0.21780665879147276</v>
      </c>
      <c r="AX141" s="225">
        <f t="shared" si="308"/>
        <v>0.36287715199936887</v>
      </c>
      <c r="BD141" t="str">
        <f t="shared" si="321"/>
        <v>81 Process, plant and machine operatives</v>
      </c>
      <c r="BE141" s="225">
        <f t="shared" si="309"/>
        <v>0.41772248576840809</v>
      </c>
      <c r="BF141" s="225">
        <f t="shared" si="309"/>
        <v>-0.74402501373123986</v>
      </c>
      <c r="BG141" s="225">
        <f t="shared" si="309"/>
        <v>0.89476831544976232</v>
      </c>
      <c r="BH141" s="225">
        <f t="shared" si="309"/>
        <v>0.46155494677514142</v>
      </c>
      <c r="BI141" s="225">
        <f t="shared" si="310"/>
        <v>1.3563232622249037</v>
      </c>
      <c r="BO141" t="str">
        <f t="shared" si="322"/>
        <v>81 Process, plant and machine operatives</v>
      </c>
      <c r="BP141" s="225">
        <f t="shared" si="311"/>
        <v>0.28642914023174093</v>
      </c>
      <c r="BQ141" s="225">
        <f t="shared" si="311"/>
        <v>-1.3444720323919919</v>
      </c>
      <c r="BR141" s="225">
        <f t="shared" si="311"/>
        <v>1.0529820045991061</v>
      </c>
      <c r="BS141" s="225">
        <f t="shared" si="311"/>
        <v>-0.5134877220313756</v>
      </c>
      <c r="BT141" s="225">
        <f t="shared" si="312"/>
        <v>0.53949428256773047</v>
      </c>
      <c r="BZ141" t="str">
        <f t="shared" si="323"/>
        <v>81 Process, plant and machine operatives</v>
      </c>
      <c r="CA141" s="278">
        <f t="shared" si="313"/>
        <v>-0.58206239689837425</v>
      </c>
      <c r="CB141" s="278">
        <f t="shared" si="313"/>
        <v>-0.74062189397295608</v>
      </c>
      <c r="CC141" s="278">
        <f t="shared" si="313"/>
        <v>-0.35638894291664469</v>
      </c>
      <c r="CD141" s="278">
        <f t="shared" si="313"/>
        <v>-2.1426756446999971</v>
      </c>
      <c r="CE141" s="278">
        <f t="shared" si="314"/>
        <v>-2.4990645876166417</v>
      </c>
      <c r="CK141" t="str">
        <f t="shared" si="324"/>
        <v>81 Process, plant and machine operatives</v>
      </c>
      <c r="CL141" s="278">
        <f t="shared" si="315"/>
        <v>-1.3676366222196923</v>
      </c>
      <c r="CM141" s="278">
        <f t="shared" si="315"/>
        <v>-0.37969370271127412</v>
      </c>
      <c r="CN141" s="278">
        <f t="shared" si="315"/>
        <v>-1.6625909766638121</v>
      </c>
      <c r="CO141" s="278">
        <f t="shared" si="315"/>
        <v>-0.55630906725350859</v>
      </c>
      <c r="CP141" s="278">
        <f t="shared" si="316"/>
        <v>-2.2189000439173205</v>
      </c>
    </row>
    <row r="142" spans="1:94">
      <c r="A142" t="str">
        <f t="shared" si="298"/>
        <v>82 Transport and mobile machine drivers and operatives</v>
      </c>
      <c r="B142" s="225">
        <f t="shared" si="299"/>
        <v>2.2201614311519485E-2</v>
      </c>
      <c r="C142" s="225">
        <f t="shared" si="299"/>
        <v>-1.5507191628605296E-2</v>
      </c>
      <c r="D142" s="225">
        <f t="shared" si="299"/>
        <v>2.8794280827894064E-2</v>
      </c>
      <c r="E142" s="225">
        <f t="shared" si="299"/>
        <v>6.2817405516128549E-2</v>
      </c>
      <c r="F142" s="225">
        <f t="shared" si="300"/>
        <v>9.1611686344022614E-2</v>
      </c>
      <c r="L142" t="str">
        <f t="shared" si="317"/>
        <v>82 Transport and mobile machine drivers and operatives</v>
      </c>
      <c r="M142" s="225">
        <f t="shared" si="301"/>
        <v>8.8072711409069027E-2</v>
      </c>
      <c r="N142" s="225">
        <f t="shared" si="301"/>
        <v>-6.7196696704754588E-2</v>
      </c>
      <c r="O142" s="225">
        <f t="shared" si="301"/>
        <v>0.13531654302540136</v>
      </c>
      <c r="P142" s="225">
        <f t="shared" si="301"/>
        <v>0.2955304101929726</v>
      </c>
      <c r="Q142" s="225">
        <f t="shared" si="302"/>
        <v>0.43084695321837396</v>
      </c>
      <c r="W142" t="str">
        <f t="shared" si="318"/>
        <v>82 Transport and mobile machine drivers and operatives</v>
      </c>
      <c r="X142" s="225">
        <f t="shared" si="303"/>
        <v>9.497312288262072E-2</v>
      </c>
      <c r="Y142" s="225">
        <f t="shared" si="303"/>
        <v>-1.6131158741820917E-2</v>
      </c>
      <c r="Z142" s="225">
        <f t="shared" si="303"/>
        <v>0.27708247181889967</v>
      </c>
      <c r="AA142" s="225">
        <f t="shared" si="303"/>
        <v>0.51466902003753323</v>
      </c>
      <c r="AB142" s="225">
        <f t="shared" si="304"/>
        <v>0.7917514918564329</v>
      </c>
      <c r="AH142" t="str">
        <f t="shared" si="319"/>
        <v>82 Transport and mobile machine drivers and operatives</v>
      </c>
      <c r="AI142" s="225">
        <f t="shared" si="305"/>
        <v>3.1450972461080473E-2</v>
      </c>
      <c r="AJ142" s="225">
        <f t="shared" si="305"/>
        <v>-3.5729138243307312E-2</v>
      </c>
      <c r="AK142" s="225">
        <f t="shared" si="305"/>
        <v>0.11120449822856016</v>
      </c>
      <c r="AL142" s="225">
        <f t="shared" si="305"/>
        <v>0.16098942242515435</v>
      </c>
      <c r="AM142" s="225">
        <f t="shared" si="306"/>
        <v>0.27219392065371451</v>
      </c>
      <c r="AS142" t="str">
        <f t="shared" si="320"/>
        <v>82 Transport and mobile machine drivers and operatives</v>
      </c>
      <c r="AT142" s="225">
        <f t="shared" si="307"/>
        <v>-7.5891367764492346E-3</v>
      </c>
      <c r="AU142" s="225">
        <f t="shared" si="307"/>
        <v>-3.8980293042830794E-2</v>
      </c>
      <c r="AV142" s="225">
        <f t="shared" si="307"/>
        <v>0.12360472693929758</v>
      </c>
      <c r="AW142" s="225">
        <f t="shared" si="307"/>
        <v>0.19394733322401414</v>
      </c>
      <c r="AX142" s="225">
        <f t="shared" si="308"/>
        <v>0.31755206016331172</v>
      </c>
      <c r="BD142" t="str">
        <f t="shared" si="321"/>
        <v>82 Transport and mobile machine drivers and operatives</v>
      </c>
      <c r="BE142" s="225">
        <f t="shared" si="309"/>
        <v>0.53422745586122344</v>
      </c>
      <c r="BF142" s="225">
        <f t="shared" si="309"/>
        <v>-0.39200848839982605</v>
      </c>
      <c r="BG142" s="225">
        <f t="shared" si="309"/>
        <v>0.78183936125472275</v>
      </c>
      <c r="BH142" s="225">
        <f t="shared" si="309"/>
        <v>0.85734815680670806</v>
      </c>
      <c r="BI142" s="225">
        <f t="shared" si="310"/>
        <v>1.6391875180614308</v>
      </c>
      <c r="BO142" t="str">
        <f t="shared" si="322"/>
        <v>82 Transport and mobile machine drivers and operatives</v>
      </c>
      <c r="BP142" s="225">
        <f t="shared" si="311"/>
        <v>0.80247602945047269</v>
      </c>
      <c r="BQ142" s="225">
        <f t="shared" si="311"/>
        <v>-1.3364984372807696</v>
      </c>
      <c r="BR142" s="225">
        <f t="shared" si="311"/>
        <v>1.3406729812639995</v>
      </c>
      <c r="BS142" s="225">
        <f t="shared" si="311"/>
        <v>0.3605317045312173</v>
      </c>
      <c r="BT142" s="225">
        <f t="shared" si="312"/>
        <v>1.7012046857952168</v>
      </c>
      <c r="BZ142" t="str">
        <f t="shared" si="323"/>
        <v>82 Transport and mobile machine drivers and operatives</v>
      </c>
      <c r="CA142" s="278">
        <f t="shared" si="313"/>
        <v>-0.71132265719232812</v>
      </c>
      <c r="CB142" s="278">
        <f t="shared" si="313"/>
        <v>-0.59961217361052821</v>
      </c>
      <c r="CC142" s="278">
        <f t="shared" si="313"/>
        <v>-0.57053090419207653</v>
      </c>
      <c r="CD142" s="278">
        <f t="shared" si="313"/>
        <v>-1.2018162354046802</v>
      </c>
      <c r="CE142" s="278">
        <f t="shared" si="314"/>
        <v>-1.7723471395967567</v>
      </c>
      <c r="CK142" t="str">
        <f t="shared" si="324"/>
        <v>82 Transport and mobile machine drivers and operatives</v>
      </c>
      <c r="CL142" s="278">
        <f t="shared" si="315"/>
        <v>-0.14208252299288038</v>
      </c>
      <c r="CM142" s="278">
        <f t="shared" si="315"/>
        <v>-0.3582948113098392</v>
      </c>
      <c r="CN142" s="278">
        <f t="shared" si="315"/>
        <v>-1.4632062162058728</v>
      </c>
      <c r="CO142" s="278">
        <f t="shared" si="315"/>
        <v>-1.2988389073439901</v>
      </c>
      <c r="CP142" s="278">
        <f t="shared" si="316"/>
        <v>-2.7620451235498629</v>
      </c>
    </row>
    <row r="143" spans="1:94">
      <c r="A143" t="str">
        <f t="shared" si="298"/>
        <v>91 Elementary trades and related occupations</v>
      </c>
      <c r="B143" s="225">
        <f t="shared" si="299"/>
        <v>-1.2368103773709367E-5</v>
      </c>
      <c r="C143" s="225">
        <f t="shared" si="299"/>
        <v>-7.5399436695412986E-5</v>
      </c>
      <c r="D143" s="225">
        <f t="shared" si="299"/>
        <v>1.3274343765194226E-3</v>
      </c>
      <c r="E143" s="225">
        <f t="shared" si="299"/>
        <v>2.775332547889817E-3</v>
      </c>
      <c r="F143" s="225">
        <f t="shared" si="300"/>
        <v>4.10276692440924E-3</v>
      </c>
      <c r="L143" t="str">
        <f t="shared" si="317"/>
        <v>91 Elementary trades and related occupations</v>
      </c>
      <c r="M143" s="225">
        <f t="shared" si="301"/>
        <v>2.2534807605756324E-2</v>
      </c>
      <c r="N143" s="225">
        <f t="shared" si="301"/>
        <v>-3.5141297145398348E-2</v>
      </c>
      <c r="O143" s="225">
        <f t="shared" si="301"/>
        <v>0.1448289048011327</v>
      </c>
      <c r="P143" s="225">
        <f t="shared" si="301"/>
        <v>0.33433462735273378</v>
      </c>
      <c r="Q143" s="225">
        <f t="shared" si="302"/>
        <v>0.47916353215386648</v>
      </c>
      <c r="W143" t="str">
        <f t="shared" si="318"/>
        <v>91 Elementary trades and related occupations</v>
      </c>
      <c r="X143" s="225">
        <f t="shared" si="303"/>
        <v>-7.8135159122655284E-2</v>
      </c>
      <c r="Y143" s="225">
        <f t="shared" si="303"/>
        <v>-2.375938362460972E-2</v>
      </c>
      <c r="Z143" s="225">
        <f t="shared" si="303"/>
        <v>0.60075138608711109</v>
      </c>
      <c r="AA143" s="225">
        <f t="shared" si="303"/>
        <v>0.53952843512351734</v>
      </c>
      <c r="AB143" s="225">
        <f t="shared" si="304"/>
        <v>1.1402798212106284</v>
      </c>
      <c r="AH143" t="str">
        <f t="shared" si="319"/>
        <v>91 Elementary trades and related occupations</v>
      </c>
      <c r="AI143" s="225">
        <f t="shared" si="305"/>
        <v>-4.9623066207564903E-2</v>
      </c>
      <c r="AJ143" s="225">
        <f t="shared" si="305"/>
        <v>-2.122377695170366E-2</v>
      </c>
      <c r="AK143" s="225">
        <f t="shared" si="305"/>
        <v>0.36390029227683651</v>
      </c>
      <c r="AL143" s="225">
        <f t="shared" si="305"/>
        <v>0.31393684298207258</v>
      </c>
      <c r="AM143" s="225">
        <f t="shared" si="306"/>
        <v>0.6778371352589091</v>
      </c>
      <c r="AS143" t="str">
        <f t="shared" si="320"/>
        <v>91 Elementary trades and related occupations</v>
      </c>
      <c r="AT143" s="225">
        <f t="shared" si="307"/>
        <v>-5.0459726397602767E-2</v>
      </c>
      <c r="AU143" s="225">
        <f t="shared" si="307"/>
        <v>-3.1659356251068915E-3</v>
      </c>
      <c r="AV143" s="225">
        <f t="shared" si="307"/>
        <v>0.43915780816287397</v>
      </c>
      <c r="AW143" s="225">
        <f t="shared" si="307"/>
        <v>0.33344047733480331</v>
      </c>
      <c r="AX143" s="225">
        <f t="shared" si="308"/>
        <v>0.77259828549767728</v>
      </c>
      <c r="BD143" t="str">
        <f t="shared" si="321"/>
        <v>91 Elementary trades and related occupations</v>
      </c>
      <c r="BE143" s="225">
        <f t="shared" si="309"/>
        <v>-4.5420611746693762E-2</v>
      </c>
      <c r="BF143" s="225">
        <f t="shared" si="309"/>
        <v>-0.19566549008431577</v>
      </c>
      <c r="BG143" s="225">
        <f t="shared" si="309"/>
        <v>1.0444973946401659</v>
      </c>
      <c r="BH143" s="225">
        <f t="shared" si="309"/>
        <v>0.70243941825090817</v>
      </c>
      <c r="BI143" s="225">
        <f t="shared" si="310"/>
        <v>1.7469368128910741</v>
      </c>
      <c r="BO143" t="str">
        <f t="shared" si="322"/>
        <v>91 Elementary trades and related occupations</v>
      </c>
      <c r="BP143" s="225">
        <f t="shared" si="311"/>
        <v>-0.21488954797166482</v>
      </c>
      <c r="BQ143" s="225">
        <f t="shared" si="311"/>
        <v>-0.40648207475275466</v>
      </c>
      <c r="BR143" s="225">
        <f t="shared" si="311"/>
        <v>1.8515827483108178</v>
      </c>
      <c r="BS143" s="225">
        <f t="shared" si="311"/>
        <v>0.50763941270741109</v>
      </c>
      <c r="BT143" s="225">
        <f t="shared" si="312"/>
        <v>2.3592221610182289</v>
      </c>
      <c r="BZ143" t="str">
        <f t="shared" si="323"/>
        <v>91 Elementary trades and related occupations</v>
      </c>
      <c r="CA143" s="278">
        <f t="shared" si="313"/>
        <v>-0.55546839254088587</v>
      </c>
      <c r="CB143" s="278">
        <f t="shared" si="313"/>
        <v>-0.44112664573245253</v>
      </c>
      <c r="CC143" s="278">
        <f t="shared" si="313"/>
        <v>1.5039112098910858</v>
      </c>
      <c r="CD143" s="278">
        <f t="shared" si="313"/>
        <v>-0.697652101751848</v>
      </c>
      <c r="CE143" s="278">
        <f t="shared" si="314"/>
        <v>0.80625910813923785</v>
      </c>
      <c r="CK143" t="str">
        <f t="shared" si="324"/>
        <v>91 Elementary trades and related occupations</v>
      </c>
      <c r="CL143" s="278">
        <f t="shared" si="315"/>
        <v>-0.6839289615880304</v>
      </c>
      <c r="CM143" s="278">
        <f t="shared" si="315"/>
        <v>-0.10750602628135519</v>
      </c>
      <c r="CN143" s="278">
        <f t="shared" si="315"/>
        <v>0.46266032581135796</v>
      </c>
      <c r="CO143" s="278">
        <f t="shared" si="315"/>
        <v>-0.55016726534207905</v>
      </c>
      <c r="CP143" s="278">
        <f t="shared" si="316"/>
        <v>-8.7506939530721084E-2</v>
      </c>
    </row>
    <row r="144" spans="1:94">
      <c r="A144" t="str">
        <f t="shared" si="298"/>
        <v>92 Elementary administration and service occupations</v>
      </c>
      <c r="B144" s="225">
        <f t="shared" si="299"/>
        <v>7.9742846081868948E-3</v>
      </c>
      <c r="C144" s="225">
        <f t="shared" si="299"/>
        <v>-4.1731147236856586E-3</v>
      </c>
      <c r="D144" s="225">
        <f t="shared" si="299"/>
        <v>8.8117711933823062E-3</v>
      </c>
      <c r="E144" s="225">
        <f t="shared" si="299"/>
        <v>2.3993193813888834E-2</v>
      </c>
      <c r="F144" s="225">
        <f t="shared" si="300"/>
        <v>3.280496500727114E-2</v>
      </c>
      <c r="L144" t="str">
        <f t="shared" ref="L144" si="325">A144</f>
        <v>92 Elementary administration and service occupations</v>
      </c>
      <c r="M144" s="225">
        <f t="shared" si="301"/>
        <v>0.20687270944605307</v>
      </c>
      <c r="N144" s="225">
        <f t="shared" si="301"/>
        <v>-4.0424507497743511E-2</v>
      </c>
      <c r="O144" s="225">
        <f t="shared" si="301"/>
        <v>0.25015450605432887</v>
      </c>
      <c r="P144" s="225">
        <f t="shared" si="301"/>
        <v>0.81922682335746455</v>
      </c>
      <c r="Q144" s="225">
        <f t="shared" si="302"/>
        <v>1.0693813294117933</v>
      </c>
      <c r="W144" t="str">
        <f t="shared" ref="W144" si="326">A144</f>
        <v>92 Elementary administration and service occupations</v>
      </c>
      <c r="X144" s="225">
        <f t="shared" si="303"/>
        <v>-1.7738354136574763E-2</v>
      </c>
      <c r="Y144" s="225">
        <f t="shared" si="303"/>
        <v>0.24167857613142862</v>
      </c>
      <c r="Z144" s="225">
        <f t="shared" si="303"/>
        <v>0.19219788080641464</v>
      </c>
      <c r="AA144" s="225">
        <f t="shared" si="303"/>
        <v>0.6302806482699661</v>
      </c>
      <c r="AB144" s="225">
        <f t="shared" si="304"/>
        <v>0.82247852907638075</v>
      </c>
      <c r="AH144" t="str">
        <f t="shared" ref="AH144" si="327">L144</f>
        <v>92 Elementary administration and service occupations</v>
      </c>
      <c r="AI144" s="225">
        <f t="shared" si="305"/>
        <v>-4.0993836073470291E-2</v>
      </c>
      <c r="AJ144" s="225">
        <f t="shared" si="305"/>
        <v>0.11245381530178711</v>
      </c>
      <c r="AK144" s="225">
        <f t="shared" si="305"/>
        <v>5.7118100000301375E-2</v>
      </c>
      <c r="AL144" s="225">
        <f t="shared" si="305"/>
        <v>0.3910875993382017</v>
      </c>
      <c r="AM144" s="225">
        <f t="shared" si="306"/>
        <v>0.44820569933850307</v>
      </c>
      <c r="AS144" t="str">
        <f t="shared" ref="AS144" si="328">W144</f>
        <v>92 Elementary administration and service occupations</v>
      </c>
      <c r="AT144" s="225">
        <f t="shared" si="307"/>
        <v>-4.024814134707988E-2</v>
      </c>
      <c r="AU144" s="225">
        <f t="shared" si="307"/>
        <v>0.11176522771551101</v>
      </c>
      <c r="AV144" s="225">
        <f t="shared" si="307"/>
        <v>3.1733631974761645E-2</v>
      </c>
      <c r="AW144" s="225">
        <f t="shared" si="307"/>
        <v>0.32383576680387671</v>
      </c>
      <c r="AX144" s="225">
        <f t="shared" si="308"/>
        <v>0.35556939877863836</v>
      </c>
      <c r="BD144" t="str">
        <f t="shared" ref="BD144" si="329">AH144</f>
        <v>92 Elementary administration and service occupations</v>
      </c>
      <c r="BE144" s="225">
        <f t="shared" si="309"/>
        <v>-0.1709770357595497</v>
      </c>
      <c r="BF144" s="225">
        <f t="shared" si="309"/>
        <v>-0.50039174942144804</v>
      </c>
      <c r="BG144" s="225">
        <f t="shared" si="309"/>
        <v>-0.6413021448006937</v>
      </c>
      <c r="BH144" s="225">
        <f t="shared" si="309"/>
        <v>-0.60389985566755922</v>
      </c>
      <c r="BI144" s="225">
        <f t="shared" si="310"/>
        <v>-1.2452020004682529</v>
      </c>
      <c r="BO144" t="str">
        <f t="shared" ref="BO144" si="330">AS144</f>
        <v>92 Elementary administration and service occupations</v>
      </c>
      <c r="BP144" s="225">
        <f t="shared" si="311"/>
        <v>0.40914407071261749</v>
      </c>
      <c r="BQ144" s="225">
        <f t="shared" si="311"/>
        <v>-2.3604834710267362</v>
      </c>
      <c r="BR144" s="225">
        <f t="shared" si="311"/>
        <v>6.6978376834519793E-2</v>
      </c>
      <c r="BS144" s="225">
        <f t="shared" si="311"/>
        <v>-1.1372670341186346</v>
      </c>
      <c r="BT144" s="225">
        <f t="shared" si="312"/>
        <v>-1.0702886572841148</v>
      </c>
      <c r="BZ144" t="str">
        <f t="shared" ref="BZ144" si="331">BD144</f>
        <v>92 Elementary administration and service occupations</v>
      </c>
      <c r="CA144" s="278">
        <f t="shared" si="313"/>
        <v>-1.0610054211182387</v>
      </c>
      <c r="CB144" s="278">
        <f t="shared" si="313"/>
        <v>-1.5068598451768391</v>
      </c>
      <c r="CC144" s="278">
        <f t="shared" si="313"/>
        <v>-1.7355998888245923</v>
      </c>
      <c r="CD144" s="278">
        <f t="shared" si="313"/>
        <v>-2.7555454365602543</v>
      </c>
      <c r="CE144" s="278">
        <f t="shared" si="314"/>
        <v>-4.4911453253848466</v>
      </c>
      <c r="CK144" t="str">
        <f t="shared" ref="CK144" si="332">BO144</f>
        <v>92 Elementary administration and service occupations</v>
      </c>
      <c r="CL144" s="278">
        <f t="shared" si="315"/>
        <v>-2.998612357245638</v>
      </c>
      <c r="CM144" s="278">
        <f t="shared" si="315"/>
        <v>-0.1315369066440546</v>
      </c>
      <c r="CN144" s="278">
        <f t="shared" si="315"/>
        <v>-2.694887461047649</v>
      </c>
      <c r="CO144" s="278">
        <f t="shared" si="315"/>
        <v>-1.43469029174408</v>
      </c>
      <c r="CP144" s="278">
        <f t="shared" si="316"/>
        <v>-4.1295777527917288</v>
      </c>
    </row>
    <row r="145" spans="1:94">
      <c r="C145" s="225"/>
      <c r="F145" s="225"/>
      <c r="N145" s="225"/>
      <c r="Q145" s="225"/>
      <c r="Y145" s="225"/>
      <c r="AB145" s="225"/>
      <c r="AJ145" s="225"/>
      <c r="AM145" s="225"/>
      <c r="AU145" s="225"/>
      <c r="AX145" s="225"/>
      <c r="BF145" s="225"/>
      <c r="BI145" s="225"/>
      <c r="BQ145" s="225"/>
      <c r="BT145" s="225"/>
      <c r="CA145" s="55"/>
      <c r="CB145" s="278"/>
      <c r="CC145" s="55"/>
      <c r="CD145" s="55"/>
      <c r="CE145" s="278"/>
      <c r="CL145" s="55"/>
      <c r="CM145" s="278"/>
      <c r="CN145" s="55"/>
      <c r="CO145" s="55"/>
      <c r="CP145" s="278"/>
    </row>
    <row r="146" spans="1:94">
      <c r="A146" s="22" t="str">
        <f t="shared" ref="A146" si="333">A35</f>
        <v>All occupations</v>
      </c>
      <c r="B146" s="362">
        <f>C35-B35</f>
        <v>1.999529361199528</v>
      </c>
      <c r="C146" s="362">
        <f>D35-C35</f>
        <v>-0.21527208985650503</v>
      </c>
      <c r="D146" s="362">
        <f>E35-D35</f>
        <v>2.0778336164993423</v>
      </c>
      <c r="E146" s="362">
        <f>F35-E35</f>
        <v>4.307184977615103</v>
      </c>
      <c r="F146" s="362">
        <f t="shared" ref="F146" si="334">F35-D35</f>
        <v>6.3850185941144453</v>
      </c>
      <c r="L146" s="22" t="str">
        <f t="shared" ref="L146" si="335">L35</f>
        <v>All occupations</v>
      </c>
      <c r="M146" s="362">
        <f>N35-M35</f>
        <v>13.600133224150902</v>
      </c>
      <c r="N146" s="362">
        <f t="shared" ref="N146" si="336">O35-N35</f>
        <v>-5.8429942610260355E-2</v>
      </c>
      <c r="O146" s="362">
        <f>P35-O35</f>
        <v>12.904547380774488</v>
      </c>
      <c r="P146" s="362">
        <f>Q35-P35</f>
        <v>28.456124125975109</v>
      </c>
      <c r="Q146" s="362">
        <f>Q35-O35</f>
        <v>41.360671506749597</v>
      </c>
      <c r="W146" s="22" t="str">
        <f t="shared" ref="W146" si="337">W35</f>
        <v>All occupations</v>
      </c>
      <c r="X146" s="362">
        <f>Y35-X35</f>
        <v>-1.7564874443543346</v>
      </c>
      <c r="Y146" s="362">
        <f t="shared" ref="Y146" si="338">Z35-Y35</f>
        <v>9.1181891055402104</v>
      </c>
      <c r="Z146" s="362">
        <f>AA35-Z35</f>
        <v>6.5125927397937318</v>
      </c>
      <c r="AA146" s="362">
        <f>AB35-AA35</f>
        <v>14.751005749119145</v>
      </c>
      <c r="AB146" s="362">
        <f>AB35-Z35</f>
        <v>21.263598488912876</v>
      </c>
      <c r="AH146" s="22" t="str">
        <f t="shared" ref="AH146" si="339">AH35</f>
        <v>All occupations</v>
      </c>
      <c r="AI146" s="362">
        <f>AJ35-AI35</f>
        <v>-2.2644546807822792</v>
      </c>
      <c r="AJ146" s="362">
        <f t="shared" ref="AJ146" si="340">AK35-AJ35</f>
        <v>2.8298688857831422</v>
      </c>
      <c r="AK146" s="362">
        <f>AL35-AK35</f>
        <v>-0.73601965148182202</v>
      </c>
      <c r="AL146" s="362">
        <f>AM35-AL35</f>
        <v>2.2710306742054911</v>
      </c>
      <c r="AM146" s="362">
        <f>AM35-AK35</f>
        <v>1.5350110227236691</v>
      </c>
      <c r="AS146" s="22" t="str">
        <f t="shared" ref="AS146" si="341">AS35</f>
        <v>All occupations</v>
      </c>
      <c r="AT146" s="362">
        <f>AU35-AT35</f>
        <v>-1.8475076220083828</v>
      </c>
      <c r="AU146" s="362">
        <f t="shared" ref="AU146" si="342">AV35-AU35</f>
        <v>2.1931962594936998</v>
      </c>
      <c r="AV146" s="362">
        <f>AW35-AV35</f>
        <v>0.97348290039605345</v>
      </c>
      <c r="AW146" s="362">
        <f>AX35-AW35</f>
        <v>3.821594379254126</v>
      </c>
      <c r="AX146" s="362">
        <f>AX35-AV35</f>
        <v>4.7950772796501795</v>
      </c>
      <c r="BD146" s="22" t="str">
        <f t="shared" ref="BD146" si="343">BD35</f>
        <v>All occupations</v>
      </c>
      <c r="BE146" s="362">
        <f>BF35-BE35</f>
        <v>8.5430028066193842</v>
      </c>
      <c r="BF146" s="362">
        <f t="shared" ref="BF146" si="344">BG35-BF35</f>
        <v>-5.3566405451048809</v>
      </c>
      <c r="BG146" s="362">
        <f>BH35-BG35</f>
        <v>4.8229903141123742</v>
      </c>
      <c r="BH146" s="362">
        <f>BI35-BH35</f>
        <v>1.0338113627634868</v>
      </c>
      <c r="BI146" s="362">
        <f>BI35-BG35</f>
        <v>5.8568016768758611</v>
      </c>
      <c r="BO146" s="22" t="str">
        <f t="shared" ref="BO146" si="345">BO35</f>
        <v>All occupations</v>
      </c>
      <c r="BP146" s="362">
        <f>BQ35-BP35</f>
        <v>2.9756707996705387</v>
      </c>
      <c r="BQ146" s="362">
        <f t="shared" ref="BQ146" si="346">BR35-BQ35</f>
        <v>-15.712716467965137</v>
      </c>
      <c r="BR146" s="362">
        <f>BS35-BR35</f>
        <v>5.5007943974151061</v>
      </c>
      <c r="BS146" s="362">
        <f>BT35-BS35</f>
        <v>-13.204497121179813</v>
      </c>
      <c r="BT146" s="362">
        <f>BT35-BR35</f>
        <v>-7.7037027237647067</v>
      </c>
      <c r="BZ146" s="22" t="str">
        <f t="shared" ref="BZ146" si="347">BZ35</f>
        <v>All occupations</v>
      </c>
      <c r="CA146" s="369">
        <f>CB35-CA35</f>
        <v>-8.2520948680830202</v>
      </c>
      <c r="CB146" s="369">
        <f t="shared" ref="CB146" si="348">CC35-CB35</f>
        <v>-5.95616532314002</v>
      </c>
      <c r="CC146" s="369">
        <f>CD35-CC35</f>
        <v>-8.2436873152663495</v>
      </c>
      <c r="CD146" s="369">
        <f>CE35-CD35</f>
        <v>-19.858631666285394</v>
      </c>
      <c r="CE146" s="369">
        <f>CE35-CC35</f>
        <v>-28.102318981551743</v>
      </c>
      <c r="CK146" s="22" t="str">
        <f t="shared" ref="CK146" si="349">CK35</f>
        <v>All occupations</v>
      </c>
      <c r="CL146" s="369">
        <f>CM35-CL35</f>
        <v>-8.6287915764126168</v>
      </c>
      <c r="CM146" s="369">
        <f t="shared" ref="CM146" si="350">CN35-CM35</f>
        <v>-0.57902988214007323</v>
      </c>
      <c r="CN146" s="369">
        <f>CO35-CN35</f>
        <v>-11.878534382242787</v>
      </c>
      <c r="CO146" s="369">
        <f>CP35-CO35</f>
        <v>-7.7616224814677235</v>
      </c>
      <c r="CP146" s="369">
        <f>CP35-CN35</f>
        <v>-19.640156863710509</v>
      </c>
    </row>
  </sheetData>
  <mergeCells count="36">
    <mergeCell ref="W1:AF1"/>
    <mergeCell ref="L1:U1"/>
    <mergeCell ref="A1:J1"/>
    <mergeCell ref="A38:J38"/>
    <mergeCell ref="L38:U38"/>
    <mergeCell ref="W38:AF38"/>
    <mergeCell ref="A75:J75"/>
    <mergeCell ref="L75:U75"/>
    <mergeCell ref="W75:AF75"/>
    <mergeCell ref="A112:J112"/>
    <mergeCell ref="L112:U112"/>
    <mergeCell ref="W112:AF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BZ1:CI1"/>
    <mergeCell ref="BZ38:CI38"/>
    <mergeCell ref="BZ75:CI75"/>
    <mergeCell ref="BZ112:CI112"/>
    <mergeCell ref="CK1:CT1"/>
    <mergeCell ref="CK38:CT38"/>
    <mergeCell ref="CK75:CT75"/>
    <mergeCell ref="CK112:CT112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/>
  <cols>
    <col min="1" max="1" width="55.7109375" style="73" customWidth="1"/>
    <col min="2" max="4" width="11.7109375" style="73" customWidth="1"/>
    <col min="5" max="5" width="14.7109375" style="73" customWidth="1"/>
    <col min="6" max="8" width="11.7109375" style="73" customWidth="1"/>
    <col min="9" max="9" width="16.5703125" style="73" customWidth="1"/>
    <col min="10" max="11" width="11.7109375" style="73" customWidth="1"/>
    <col min="12" max="12" width="2.7109375" style="73" customWidth="1"/>
    <col min="13" max="22" width="11.7109375" style="73" customWidth="1"/>
    <col min="23" max="23" width="2.7109375" style="73" customWidth="1"/>
    <col min="24" max="32" width="11.7109375" style="73" customWidth="1"/>
    <col min="33" max="33" width="12.85546875" style="73" customWidth="1"/>
    <col min="34" max="16384" width="9.140625" style="73"/>
  </cols>
  <sheetData>
    <row r="1" spans="1:33" ht="15.75">
      <c r="A1" s="18" t="str">
        <f>CONCATENATE("Basic Table 3  Occupation by Qualification in ",A$6,", ",Info!B5)</f>
        <v>Basic Table 3  Occupation by Qualification in 2020, Black Country</v>
      </c>
    </row>
    <row r="2" spans="1:33" ht="15">
      <c r="A2" s="336" t="s">
        <v>190</v>
      </c>
    </row>
    <row r="3" spans="1:33">
      <c r="AG3" s="74"/>
    </row>
    <row r="4" spans="1:33">
      <c r="A4" s="78"/>
      <c r="B4" s="77" t="s">
        <v>198</v>
      </c>
      <c r="C4" s="77"/>
      <c r="D4" s="77"/>
      <c r="E4" s="77"/>
      <c r="F4" s="77"/>
      <c r="G4" s="77"/>
      <c r="H4" s="77"/>
      <c r="I4" s="77"/>
      <c r="J4" s="77"/>
      <c r="K4" s="77"/>
      <c r="L4" s="78"/>
      <c r="M4" s="77" t="s">
        <v>199</v>
      </c>
      <c r="N4" s="77"/>
      <c r="O4" s="77"/>
      <c r="P4" s="77"/>
      <c r="Q4" s="77"/>
      <c r="R4" s="77"/>
      <c r="S4" s="77"/>
      <c r="T4" s="77"/>
      <c r="U4" s="77"/>
      <c r="V4" s="77"/>
      <c r="W4" s="78"/>
      <c r="X4" s="77" t="s">
        <v>200</v>
      </c>
      <c r="Y4" s="77"/>
      <c r="Z4" s="77"/>
      <c r="AA4" s="77"/>
      <c r="AB4" s="77"/>
      <c r="AC4" s="77"/>
      <c r="AD4" s="77"/>
      <c r="AE4" s="77"/>
      <c r="AF4" s="77"/>
    </row>
    <row r="5" spans="1:33">
      <c r="B5" s="74"/>
      <c r="C5" s="74"/>
      <c r="D5" s="74"/>
      <c r="E5" s="74"/>
      <c r="F5" s="74"/>
      <c r="G5" s="74"/>
      <c r="H5" s="74"/>
      <c r="I5" s="74"/>
      <c r="J5" s="74"/>
      <c r="K5" s="74"/>
      <c r="M5" s="74"/>
      <c r="N5" s="74"/>
      <c r="O5" s="74"/>
      <c r="P5" s="74"/>
      <c r="Q5" s="74"/>
      <c r="R5" s="74"/>
      <c r="S5" s="74"/>
      <c r="T5" s="74"/>
      <c r="U5" s="74"/>
      <c r="V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51">
      <c r="A6" s="82">
        <f>'Basic T2'!D6</f>
        <v>2020</v>
      </c>
      <c r="B6" s="211" t="str">
        <f>name!$F$4</f>
        <v>RQF8 Doctorate</v>
      </c>
      <c r="C6" s="211" t="str">
        <f>name!$F$5</f>
        <v>RQF7 Other higher degree</v>
      </c>
      <c r="D6" s="211" t="str">
        <f>name!$F$6</f>
        <v>RQF6 First degree</v>
      </c>
      <c r="E6" s="211" t="str">
        <f>name!$F$7</f>
        <v>RQF5 Foundation degree;Nursing;Teaching</v>
      </c>
      <c r="F6" s="211" t="str">
        <f>name!$F$8</f>
        <v>RQF4 HE below degree level</v>
      </c>
      <c r="G6" s="211" t="str">
        <f>name!$F$9</f>
        <v>RQF3 A level &amp; equivalent</v>
      </c>
      <c r="H6" s="211" t="str">
        <f>name!$F$10</f>
        <v>RQF2 GCSE(A-C) &amp; equivalent</v>
      </c>
      <c r="I6" s="211" t="str">
        <f>name!$F$11</f>
        <v>RQF1 GCSE(below grade C) &amp; equivalent</v>
      </c>
      <c r="J6" s="211" t="str">
        <f>name!$F$12</f>
        <v>No Qualification</v>
      </c>
      <c r="K6" s="211" t="str">
        <f>name!$F$3</f>
        <v>All qualifications</v>
      </c>
      <c r="L6" s="74"/>
      <c r="M6" s="211" t="str">
        <f>name!$F$4</f>
        <v>RQF8 Doctorate</v>
      </c>
      <c r="N6" s="211" t="str">
        <f>name!$F$5</f>
        <v>RQF7 Other higher degree</v>
      </c>
      <c r="O6" s="211" t="str">
        <f>name!$F$6</f>
        <v>RQF6 First degree</v>
      </c>
      <c r="P6" s="211" t="str">
        <f>name!$F$7</f>
        <v>RQF5 Foundation degree;Nursing;Teaching</v>
      </c>
      <c r="Q6" s="211" t="str">
        <f>name!$F$8</f>
        <v>RQF4 HE below degree level</v>
      </c>
      <c r="R6" s="211" t="str">
        <f>name!$F$9</f>
        <v>RQF3 A level &amp; equivalent</v>
      </c>
      <c r="S6" s="211" t="str">
        <f>name!$F$10</f>
        <v>RQF2 GCSE(A-C) &amp; equivalent</v>
      </c>
      <c r="T6" s="211" t="str">
        <f>name!$F$11</f>
        <v>RQF1 GCSE(below grade C) &amp; equivalent</v>
      </c>
      <c r="U6" s="211" t="str">
        <f>name!$F$12</f>
        <v>No Qualification</v>
      </c>
      <c r="V6" s="211" t="str">
        <f>name!$F$3</f>
        <v>All qualifications</v>
      </c>
      <c r="W6" s="74"/>
      <c r="X6" s="211" t="str">
        <f>name!$F$4</f>
        <v>RQF8 Doctorate</v>
      </c>
      <c r="Y6" s="211" t="str">
        <f>name!$F$5</f>
        <v>RQF7 Other higher degree</v>
      </c>
      <c r="Z6" s="211" t="str">
        <f>name!$F$6</f>
        <v>RQF6 First degree</v>
      </c>
      <c r="AA6" s="211" t="str">
        <f>name!$F$7</f>
        <v>RQF5 Foundation degree;Nursing;Teaching</v>
      </c>
      <c r="AB6" s="211" t="str">
        <f>name!$F$8</f>
        <v>RQF4 HE below degree level</v>
      </c>
      <c r="AC6" s="211" t="str">
        <f>name!$F$9</f>
        <v>RQF3 A level &amp; equivalent</v>
      </c>
      <c r="AD6" s="211" t="str">
        <f>name!$F$10</f>
        <v>RQF2 GCSE(A-C) &amp; equivalent</v>
      </c>
      <c r="AE6" s="211" t="str">
        <f>name!$F$11</f>
        <v>RQF1 GCSE(below grade C) &amp; equivalent</v>
      </c>
      <c r="AF6" s="211" t="str">
        <f>name!$F$12</f>
        <v>No Qualification</v>
      </c>
      <c r="AG6" s="211" t="str">
        <f>name!$F$3</f>
        <v>All qualifications</v>
      </c>
    </row>
    <row r="8" spans="1:33">
      <c r="A8" s="10" t="str">
        <f>name!D4</f>
        <v>11 Corporate managers and directors</v>
      </c>
      <c r="B8" s="55">
        <f>'Basic T2'!D8</f>
        <v>0.40248138315331627</v>
      </c>
      <c r="C8" s="55">
        <f>'Basic T2'!O8</f>
        <v>3.8038285278720316</v>
      </c>
      <c r="D8" s="55">
        <f>'Basic T2'!Z8</f>
        <v>9.0860895159996602</v>
      </c>
      <c r="E8" s="55">
        <f>'Basic T2'!AK8</f>
        <v>1.9094439541107</v>
      </c>
      <c r="F8" s="55">
        <f>'Basic T2'!AV8</f>
        <v>2.6572479443795842</v>
      </c>
      <c r="G8" s="55">
        <f>'Basic T2'!BG8</f>
        <v>6.6115979009734014</v>
      </c>
      <c r="H8" s="55">
        <f>'Basic T2'!BR8</f>
        <v>5.086022668189452</v>
      </c>
      <c r="I8" s="55">
        <f>'Basic T2'!CC8</f>
        <v>3.8267385849460345</v>
      </c>
      <c r="J8" s="55">
        <f>'Basic T2'!CN8</f>
        <v>1.1738990392941775</v>
      </c>
      <c r="K8" s="280">
        <f>SUM(B8:J8)</f>
        <v>34.557349518918357</v>
      </c>
      <c r="L8" s="79"/>
      <c r="M8" s="79">
        <f t="shared" ref="M8:M33" si="0">B8/B$35*100</f>
        <v>5.6754916948912291</v>
      </c>
      <c r="N8" s="79">
        <f t="shared" ref="N8:N33" si="1">C8/C$35*100</f>
        <v>7.9388481900917931</v>
      </c>
      <c r="O8" s="79">
        <f t="shared" ref="O8:O33" si="2">D8/D$35*100</f>
        <v>9.9810742958638627</v>
      </c>
      <c r="P8" s="79">
        <f t="shared" ref="P8:P33" si="3">E8/E$35*100</f>
        <v>6.8615642581856431</v>
      </c>
      <c r="Q8" s="79">
        <f t="shared" ref="Q8:Q33" si="4">F8/F$35*100</f>
        <v>9.8561494461408738</v>
      </c>
      <c r="R8" s="79">
        <f t="shared" ref="R8:R33" si="5">G8/G$35*100</f>
        <v>6.329680262939263</v>
      </c>
      <c r="S8" s="79">
        <f t="shared" ref="S8:S33" si="6">H8/H$35*100</f>
        <v>5.1323319982507121</v>
      </c>
      <c r="T8" s="79">
        <f t="shared" ref="T8:T33" si="7">I8/I$35*100</f>
        <v>6.3752260512436747</v>
      </c>
      <c r="U8" s="79">
        <f t="shared" ref="U8:U33" si="8">J8/J$35*100</f>
        <v>3.6926697779181437</v>
      </c>
      <c r="V8" s="79">
        <f t="shared" ref="V8:V33" si="9">K8/K$35*100</f>
        <v>6.964483552585957</v>
      </c>
      <c r="W8" s="79"/>
      <c r="X8" s="79">
        <f t="shared" ref="X8:X32" si="10">IF($K8&gt;0,B8/$K8*100,0)</f>
        <v>1.164676657082681</v>
      </c>
      <c r="Y8" s="79">
        <f t="shared" ref="Y8:AG23" si="11">IF($K8&gt;0,C8/$K8*100,0)</f>
        <v>11.007292459711451</v>
      </c>
      <c r="Z8" s="79">
        <f t="shared" si="11"/>
        <v>26.292784725939406</v>
      </c>
      <c r="AA8" s="79">
        <f t="shared" si="11"/>
        <v>5.5254351988579984</v>
      </c>
      <c r="AB8" s="79">
        <f t="shared" si="11"/>
        <v>7.6893858509747073</v>
      </c>
      <c r="AC8" s="79">
        <f t="shared" si="11"/>
        <v>19.132248256926921</v>
      </c>
      <c r="AD8" s="79">
        <f t="shared" si="11"/>
        <v>14.717629502821442</v>
      </c>
      <c r="AE8" s="79">
        <f t="shared" si="11"/>
        <v>11.073588218480394</v>
      </c>
      <c r="AF8" s="79">
        <f>IF($K8&gt;0,J8/$K8*100,0)</f>
        <v>3.3969591292050003</v>
      </c>
      <c r="AG8" s="79">
        <f t="shared" si="11"/>
        <v>100</v>
      </c>
    </row>
    <row r="9" spans="1:33">
      <c r="A9" s="10" t="str">
        <f>name!D5</f>
        <v>12 Other managers and proprietors</v>
      </c>
      <c r="B9" s="55">
        <f>'Basic T2'!D9</f>
        <v>0.13066544136148342</v>
      </c>
      <c r="C9" s="55">
        <f>'Basic T2'!O9</f>
        <v>1.3074081049131188</v>
      </c>
      <c r="D9" s="55">
        <f>'Basic T2'!Z9</f>
        <v>2.848200738809759</v>
      </c>
      <c r="E9" s="55">
        <f>'Basic T2'!AK9</f>
        <v>0.85331775459581505</v>
      </c>
      <c r="F9" s="55">
        <f>'Basic T2'!AV9</f>
        <v>0.94037846112169443</v>
      </c>
      <c r="G9" s="55">
        <f>'Basic T2'!BG9</f>
        <v>2.2907918513365759</v>
      </c>
      <c r="H9" s="55">
        <f>'Basic T2'!BR9</f>
        <v>2.5276817401733664</v>
      </c>
      <c r="I9" s="55">
        <f>'Basic T2'!CC9</f>
        <v>1.5970832855337915</v>
      </c>
      <c r="J9" s="55">
        <f>'Basic T2'!CN9</f>
        <v>0.7474905956119029</v>
      </c>
      <c r="K9" s="280">
        <f>SUM(B9:J9)</f>
        <v>13.243017973457508</v>
      </c>
      <c r="L9" s="79"/>
      <c r="M9" s="79">
        <f t="shared" si="0"/>
        <v>1.8425464090941659</v>
      </c>
      <c r="N9" s="79">
        <f t="shared" si="1"/>
        <v>2.7286494097585767</v>
      </c>
      <c r="O9" s="79">
        <f t="shared" si="2"/>
        <v>3.1287500671807833</v>
      </c>
      <c r="P9" s="79">
        <f t="shared" si="3"/>
        <v>3.0663872554126943</v>
      </c>
      <c r="Q9" s="79">
        <f t="shared" si="4"/>
        <v>3.4880112216669397</v>
      </c>
      <c r="R9" s="79">
        <f t="shared" si="5"/>
        <v>2.1931127974029456</v>
      </c>
      <c r="S9" s="79">
        <f t="shared" si="6"/>
        <v>2.5506968259549598</v>
      </c>
      <c r="T9" s="79">
        <f t="shared" si="7"/>
        <v>2.6606904918968888</v>
      </c>
      <c r="U9" s="79">
        <f t="shared" si="8"/>
        <v>2.3513401402506768</v>
      </c>
      <c r="V9" s="79">
        <f t="shared" si="9"/>
        <v>2.6689194092345958</v>
      </c>
      <c r="W9" s="79"/>
      <c r="X9" s="79">
        <f t="shared" si="10"/>
        <v>0.98667419785558963</v>
      </c>
      <c r="Y9" s="79">
        <f t="shared" si="11"/>
        <v>9.8724332137395603</v>
      </c>
      <c r="Z9" s="79">
        <f t="shared" si="11"/>
        <v>21.507187746164071</v>
      </c>
      <c r="AA9" s="79">
        <f t="shared" si="11"/>
        <v>6.4435293851151476</v>
      </c>
      <c r="AB9" s="79">
        <f t="shared" si="11"/>
        <v>7.100937739467394</v>
      </c>
      <c r="AC9" s="79">
        <f t="shared" si="11"/>
        <v>17.298110264049519</v>
      </c>
      <c r="AD9" s="79">
        <f t="shared" si="11"/>
        <v>19.086901076774989</v>
      </c>
      <c r="AE9" s="79">
        <f t="shared" si="11"/>
        <v>12.05981362205176</v>
      </c>
      <c r="AF9" s="79">
        <f t="shared" si="11"/>
        <v>5.6444127547819596</v>
      </c>
      <c r="AG9" s="79">
        <f t="shared" si="11"/>
        <v>100</v>
      </c>
    </row>
    <row r="10" spans="1:33">
      <c r="A10" s="10" t="str">
        <f>name!D6</f>
        <v>21 Science, research, engineering and technology professionals</v>
      </c>
      <c r="B10" s="55">
        <f>'Basic T2'!D10</f>
        <v>1.2276512560906556</v>
      </c>
      <c r="C10" s="55">
        <f>'Basic T2'!O10</f>
        <v>4.4636264902997853</v>
      </c>
      <c r="D10" s="55">
        <f>'Basic T2'!Z10</f>
        <v>8.276537217990823</v>
      </c>
      <c r="E10" s="55">
        <f>'Basic T2'!AK10</f>
        <v>0.91795069522373196</v>
      </c>
      <c r="F10" s="55">
        <f>'Basic T2'!AV10</f>
        <v>2.5907172598473176</v>
      </c>
      <c r="G10" s="55">
        <f>'Basic T2'!BG10</f>
        <v>4.1254865509646281</v>
      </c>
      <c r="H10" s="55">
        <f>'Basic T2'!BR10</f>
        <v>2.8180475615815084</v>
      </c>
      <c r="I10" s="55">
        <f>'Basic T2'!CC10</f>
        <v>1.6516234571213404</v>
      </c>
      <c r="J10" s="55">
        <f>'Basic T2'!CN10</f>
        <v>0.60251175061506246</v>
      </c>
      <c r="K10" s="280">
        <f t="shared" ref="K10:K32" si="12">SUM(B10:J10)</f>
        <v>26.674152239734848</v>
      </c>
      <c r="L10" s="79"/>
      <c r="M10" s="79">
        <f t="shared" si="0"/>
        <v>17.311420601809996</v>
      </c>
      <c r="N10" s="79">
        <f t="shared" si="1"/>
        <v>9.3158912984929305</v>
      </c>
      <c r="O10" s="79">
        <f t="shared" si="2"/>
        <v>9.0917806543489821</v>
      </c>
      <c r="P10" s="79">
        <f t="shared" si="3"/>
        <v>3.2986449628773244</v>
      </c>
      <c r="Q10" s="79">
        <f t="shared" si="4"/>
        <v>9.6093767010942432</v>
      </c>
      <c r="R10" s="79">
        <f t="shared" si="5"/>
        <v>3.9495763638042267</v>
      </c>
      <c r="S10" s="79">
        <f t="shared" si="6"/>
        <v>2.8437064906055238</v>
      </c>
      <c r="T10" s="79">
        <f t="shared" si="7"/>
        <v>2.7515527013281988</v>
      </c>
      <c r="U10" s="79">
        <f t="shared" si="8"/>
        <v>1.8952881447748107</v>
      </c>
      <c r="V10" s="79">
        <f t="shared" si="9"/>
        <v>5.3757506619860074</v>
      </c>
      <c r="W10" s="79"/>
      <c r="X10" s="79">
        <f t="shared" si="10"/>
        <v>4.6024002752068682</v>
      </c>
      <c r="Y10" s="79">
        <f t="shared" si="11"/>
        <v>16.733901981899145</v>
      </c>
      <c r="Z10" s="79">
        <f t="shared" si="11"/>
        <v>31.028304643405964</v>
      </c>
      <c r="AA10" s="79">
        <f t="shared" si="11"/>
        <v>3.4413490894616592</v>
      </c>
      <c r="AB10" s="79">
        <f t="shared" si="11"/>
        <v>9.7124633486498766</v>
      </c>
      <c r="AC10" s="79">
        <f t="shared" si="11"/>
        <v>15.466233055456375</v>
      </c>
      <c r="AD10" s="79">
        <f t="shared" si="11"/>
        <v>10.564712746085462</v>
      </c>
      <c r="AE10" s="79">
        <f t="shared" si="11"/>
        <v>6.1918498562852848</v>
      </c>
      <c r="AF10" s="79">
        <f t="shared" si="11"/>
        <v>2.2587850035493822</v>
      </c>
      <c r="AG10" s="79">
        <f t="shared" si="11"/>
        <v>100</v>
      </c>
    </row>
    <row r="11" spans="1:33">
      <c r="A11" s="10" t="str">
        <f>name!D7</f>
        <v>22 Health professionals</v>
      </c>
      <c r="B11" s="55">
        <f>'Basic T2'!D11</f>
        <v>1.7196263864843719</v>
      </c>
      <c r="C11" s="55">
        <f>'Basic T2'!O11</f>
        <v>5.2342624554481567</v>
      </c>
      <c r="D11" s="55">
        <f>'Basic T2'!Z11</f>
        <v>9.8464871956844053</v>
      </c>
      <c r="E11" s="55">
        <f>'Basic T2'!AK11</f>
        <v>3.3799516135765466</v>
      </c>
      <c r="F11" s="55">
        <f>'Basic T2'!AV11</f>
        <v>0.63783575488146127</v>
      </c>
      <c r="G11" s="55">
        <f>'Basic T2'!BG11</f>
        <v>2.8003145404171743</v>
      </c>
      <c r="H11" s="55">
        <f>'Basic T2'!BR11</f>
        <v>2.0151374752681206</v>
      </c>
      <c r="I11" s="55">
        <f>'Basic T2'!CC11</f>
        <v>0.94105442914912718</v>
      </c>
      <c r="J11" s="55">
        <f>'Basic T2'!CN11</f>
        <v>0.31063394520542525</v>
      </c>
      <c r="K11" s="280">
        <f t="shared" si="12"/>
        <v>26.88530379611479</v>
      </c>
      <c r="L11" s="79"/>
      <c r="M11" s="79">
        <f t="shared" si="0"/>
        <v>24.24888624249763</v>
      </c>
      <c r="N11" s="79">
        <f t="shared" si="1"/>
        <v>10.924260837842368</v>
      </c>
      <c r="O11" s="79">
        <f t="shared" si="2"/>
        <v>10.816371562303013</v>
      </c>
      <c r="P11" s="79">
        <f t="shared" si="3"/>
        <v>12.145816134684612</v>
      </c>
      <c r="Q11" s="79">
        <f t="shared" si="4"/>
        <v>2.3658328668578803</v>
      </c>
      <c r="R11" s="79">
        <f t="shared" si="5"/>
        <v>2.6809095081070828</v>
      </c>
      <c r="S11" s="79">
        <f t="shared" si="6"/>
        <v>2.0334857353033491</v>
      </c>
      <c r="T11" s="79">
        <f t="shared" si="7"/>
        <v>1.5677670630418479</v>
      </c>
      <c r="U11" s="79">
        <f t="shared" si="8"/>
        <v>0.97714415214552408</v>
      </c>
      <c r="V11" s="79">
        <f t="shared" si="9"/>
        <v>5.4183048960920113</v>
      </c>
      <c r="W11" s="79"/>
      <c r="X11" s="79">
        <f t="shared" si="10"/>
        <v>6.3961575421471561</v>
      </c>
      <c r="Y11" s="79">
        <f t="shared" si="11"/>
        <v>19.468861111417173</v>
      </c>
      <c r="Z11" s="79">
        <f t="shared" si="11"/>
        <v>36.624050337520551</v>
      </c>
      <c r="AA11" s="79">
        <f t="shared" si="11"/>
        <v>12.571744173725815</v>
      </c>
      <c r="AB11" s="79">
        <f t="shared" si="11"/>
        <v>2.3724327599885084</v>
      </c>
      <c r="AC11" s="79">
        <f t="shared" si="11"/>
        <v>10.415781653997339</v>
      </c>
      <c r="AD11" s="79">
        <f t="shared" si="11"/>
        <v>7.4953122737609874</v>
      </c>
      <c r="AE11" s="79">
        <f t="shared" si="11"/>
        <v>3.5002558880704164</v>
      </c>
      <c r="AF11" s="79">
        <f t="shared" si="11"/>
        <v>1.1554042593720482</v>
      </c>
      <c r="AG11" s="79">
        <f t="shared" si="11"/>
        <v>100</v>
      </c>
    </row>
    <row r="12" spans="1:33">
      <c r="A12" s="10" t="str">
        <f>name!D8</f>
        <v>23 Teaching and other educational professionals</v>
      </c>
      <c r="B12" s="55">
        <f>'Basic T2'!D12</f>
        <v>1.9642150179303035</v>
      </c>
      <c r="C12" s="55">
        <f>'Basic T2'!O12</f>
        <v>11.493151663559454</v>
      </c>
      <c r="D12" s="55">
        <f>'Basic T2'!Z12</f>
        <v>5.6772645357811591</v>
      </c>
      <c r="E12" s="55">
        <f>'Basic T2'!AK12</f>
        <v>0.42480829054441882</v>
      </c>
      <c r="F12" s="55">
        <f>'Basic T2'!AV12</f>
        <v>0.19372067322514883</v>
      </c>
      <c r="G12" s="55">
        <f>'Basic T2'!BG12</f>
        <v>0.89400952067018624</v>
      </c>
      <c r="H12" s="55">
        <f>'Basic T2'!BR12</f>
        <v>0.69805215083667727</v>
      </c>
      <c r="I12" s="55">
        <f>'Basic T2'!CC12</f>
        <v>0.46992987241060635</v>
      </c>
      <c r="J12" s="55">
        <f>'Basic T2'!CN12</f>
        <v>0.21146611855062372</v>
      </c>
      <c r="K12" s="280">
        <f t="shared" si="12"/>
        <v>22.026617843508575</v>
      </c>
      <c r="L12" s="79"/>
      <c r="M12" s="79">
        <f t="shared" si="0"/>
        <v>27.697892344495166</v>
      </c>
      <c r="N12" s="79">
        <f t="shared" si="1"/>
        <v>23.986987219358966</v>
      </c>
      <c r="O12" s="79">
        <f t="shared" si="2"/>
        <v>6.2364781933001305</v>
      </c>
      <c r="P12" s="79">
        <f t="shared" si="3"/>
        <v>1.5265435661022486</v>
      </c>
      <c r="Q12" s="79">
        <f t="shared" si="4"/>
        <v>0.7185403643467233</v>
      </c>
      <c r="R12" s="79">
        <f t="shared" si="5"/>
        <v>0.85588907592712893</v>
      </c>
      <c r="S12" s="79">
        <f t="shared" si="6"/>
        <v>0.70440806577493609</v>
      </c>
      <c r="T12" s="79">
        <f t="shared" si="7"/>
        <v>0.78288837827472424</v>
      </c>
      <c r="U12" s="79">
        <f t="shared" si="8"/>
        <v>0.66519736270936447</v>
      </c>
      <c r="V12" s="79">
        <f t="shared" si="9"/>
        <v>4.439114105271039</v>
      </c>
      <c r="W12" s="79"/>
      <c r="X12" s="79">
        <f t="shared" si="10"/>
        <v>8.917460828009844</v>
      </c>
      <c r="Y12" s="79">
        <f t="shared" si="11"/>
        <v>52.178467639536322</v>
      </c>
      <c r="Z12" s="79">
        <f t="shared" si="11"/>
        <v>25.774563194931428</v>
      </c>
      <c r="AA12" s="79">
        <f t="shared" si="11"/>
        <v>1.9286133421051443</v>
      </c>
      <c r="AB12" s="79">
        <f t="shared" si="11"/>
        <v>0.87948442471498145</v>
      </c>
      <c r="AC12" s="79">
        <f t="shared" si="11"/>
        <v>4.0587689268584564</v>
      </c>
      <c r="AD12" s="79">
        <f t="shared" si="11"/>
        <v>3.169129985348154</v>
      </c>
      <c r="AE12" s="79">
        <f t="shared" si="11"/>
        <v>2.1334635927734977</v>
      </c>
      <c r="AF12" s="79">
        <f t="shared" si="11"/>
        <v>0.96004806572219403</v>
      </c>
      <c r="AG12" s="79">
        <f t="shared" si="11"/>
        <v>100</v>
      </c>
    </row>
    <row r="13" spans="1:33">
      <c r="A13" s="10" t="str">
        <f>name!D9</f>
        <v>24 Business, media and public service professionals</v>
      </c>
      <c r="B13" s="55">
        <f>'Basic T2'!D13</f>
        <v>0.45998809827771037</v>
      </c>
      <c r="C13" s="55">
        <f>'Basic T2'!O13</f>
        <v>5.6927563758033912</v>
      </c>
      <c r="D13" s="55">
        <f>'Basic T2'!Z13</f>
        <v>9.8587477725490071</v>
      </c>
      <c r="E13" s="55">
        <f>'Basic T2'!AK13</f>
        <v>1.0978875781247195</v>
      </c>
      <c r="F13" s="55">
        <f>'Basic T2'!AV13</f>
        <v>1.6282969546287989</v>
      </c>
      <c r="G13" s="55">
        <f>'Basic T2'!BG13</f>
        <v>4.223624013509955</v>
      </c>
      <c r="H13" s="55">
        <f>'Basic T2'!BR13</f>
        <v>2.6606576837141809</v>
      </c>
      <c r="I13" s="55">
        <f>'Basic T2'!CC13</f>
        <v>1.6898354082843994</v>
      </c>
      <c r="J13" s="55">
        <f>'Basic T2'!CN13</f>
        <v>0.64596547543810201</v>
      </c>
      <c r="K13" s="280">
        <f t="shared" si="12"/>
        <v>27.957759360330265</v>
      </c>
      <c r="L13" s="79"/>
      <c r="M13" s="79">
        <f t="shared" si="0"/>
        <v>6.4864084173788568</v>
      </c>
      <c r="N13" s="79">
        <f t="shared" si="1"/>
        <v>11.881168753935135</v>
      </c>
      <c r="O13" s="79">
        <f t="shared" si="2"/>
        <v>10.829839812685123</v>
      </c>
      <c r="P13" s="79">
        <f t="shared" si="3"/>
        <v>3.9452460227224004</v>
      </c>
      <c r="Q13" s="79">
        <f t="shared" si="4"/>
        <v>6.0396088221509858</v>
      </c>
      <c r="R13" s="79">
        <f t="shared" si="5"/>
        <v>4.0435292582530318</v>
      </c>
      <c r="S13" s="79">
        <f t="shared" si="6"/>
        <v>2.6848835440560519</v>
      </c>
      <c r="T13" s="79">
        <f t="shared" si="7"/>
        <v>2.8152126093976757</v>
      </c>
      <c r="U13" s="79">
        <f t="shared" si="8"/>
        <v>2.0319781419729415</v>
      </c>
      <c r="V13" s="79">
        <f t="shared" si="9"/>
        <v>5.6344412387756133</v>
      </c>
      <c r="W13" s="79"/>
      <c r="X13" s="79">
        <f t="shared" si="10"/>
        <v>1.6452967219196943</v>
      </c>
      <c r="Y13" s="79">
        <f t="shared" si="11"/>
        <v>20.361990753382546</v>
      </c>
      <c r="Z13" s="79">
        <f t="shared" si="11"/>
        <v>35.263011049940395</v>
      </c>
      <c r="AA13" s="79">
        <f t="shared" si="11"/>
        <v>3.9269512408871026</v>
      </c>
      <c r="AB13" s="79">
        <f t="shared" si="11"/>
        <v>5.8241325195008891</v>
      </c>
      <c r="AC13" s="79">
        <f t="shared" si="11"/>
        <v>15.107162054992598</v>
      </c>
      <c r="AD13" s="79">
        <f t="shared" si="11"/>
        <v>9.5167057181607806</v>
      </c>
      <c r="AE13" s="79">
        <f t="shared" si="11"/>
        <v>6.0442447712105825</v>
      </c>
      <c r="AF13" s="79">
        <f t="shared" si="11"/>
        <v>2.3105051700054093</v>
      </c>
      <c r="AG13" s="79">
        <f t="shared" si="11"/>
        <v>100</v>
      </c>
    </row>
    <row r="14" spans="1:33">
      <c r="A14" s="10" t="str">
        <f>name!D10</f>
        <v>31 Science, engineering and technology associate professionals</v>
      </c>
      <c r="B14" s="55">
        <f>'Basic T2'!D14</f>
        <v>0.13320598431175687</v>
      </c>
      <c r="C14" s="55">
        <f>'Basic T2'!O14</f>
        <v>0.89197339166385037</v>
      </c>
      <c r="D14" s="55">
        <f>'Basic T2'!Z14</f>
        <v>1.9460628475140151</v>
      </c>
      <c r="E14" s="55">
        <f>'Basic T2'!AK14</f>
        <v>0.39588247104166968</v>
      </c>
      <c r="F14" s="55">
        <f>'Basic T2'!AV14</f>
        <v>0.92364501368193619</v>
      </c>
      <c r="G14" s="55">
        <f>'Basic T2'!BG14</f>
        <v>1.6765339298795463</v>
      </c>
      <c r="H14" s="55">
        <f>'Basic T2'!BR14</f>
        <v>1.3631230461952171</v>
      </c>
      <c r="I14" s="55">
        <f>'Basic T2'!CC14</f>
        <v>1.0571328406662892</v>
      </c>
      <c r="J14" s="55">
        <f>'Basic T2'!CN14</f>
        <v>0.32434123960780642</v>
      </c>
      <c r="K14" s="280">
        <f t="shared" si="12"/>
        <v>8.7119007645620865</v>
      </c>
      <c r="L14" s="79"/>
      <c r="M14" s="79">
        <f t="shared" si="0"/>
        <v>1.8783712472564293</v>
      </c>
      <c r="N14" s="79">
        <f t="shared" si="1"/>
        <v>1.8616089800404438</v>
      </c>
      <c r="O14" s="79">
        <f t="shared" si="2"/>
        <v>2.1377511008728765</v>
      </c>
      <c r="P14" s="79">
        <f t="shared" si="3"/>
        <v>1.4225989759447277</v>
      </c>
      <c r="Q14" s="79">
        <f t="shared" si="4"/>
        <v>3.4259442402758191</v>
      </c>
      <c r="R14" s="79">
        <f t="shared" si="5"/>
        <v>1.6050467504299086</v>
      </c>
      <c r="S14" s="79">
        <f t="shared" si="6"/>
        <v>1.3755345746485177</v>
      </c>
      <c r="T14" s="79">
        <f t="shared" si="7"/>
        <v>1.7611500435261631</v>
      </c>
      <c r="U14" s="79">
        <f t="shared" si="8"/>
        <v>1.0202624358159269</v>
      </c>
      <c r="V14" s="79">
        <f t="shared" si="9"/>
        <v>1.7557448829615205</v>
      </c>
      <c r="W14" s="79"/>
      <c r="X14" s="79">
        <f t="shared" si="10"/>
        <v>1.5290117267359924</v>
      </c>
      <c r="Y14" s="79">
        <f t="shared" si="11"/>
        <v>10.238562350161097</v>
      </c>
      <c r="Z14" s="79">
        <f t="shared" si="11"/>
        <v>22.337982262494656</v>
      </c>
      <c r="AA14" s="79">
        <f t="shared" si="11"/>
        <v>4.5441572595962549</v>
      </c>
      <c r="AB14" s="79">
        <f t="shared" si="11"/>
        <v>10.602106688807815</v>
      </c>
      <c r="AC14" s="79">
        <f t="shared" si="11"/>
        <v>19.244180749846031</v>
      </c>
      <c r="AD14" s="79">
        <f t="shared" si="11"/>
        <v>15.646677837976222</v>
      </c>
      <c r="AE14" s="79">
        <f t="shared" si="11"/>
        <v>12.134353561124698</v>
      </c>
      <c r="AF14" s="79">
        <f t="shared" si="11"/>
        <v>3.722967563257245</v>
      </c>
      <c r="AG14" s="79">
        <f t="shared" si="11"/>
        <v>100</v>
      </c>
    </row>
    <row r="15" spans="1:33">
      <c r="A15" s="10" t="str">
        <f>name!D11</f>
        <v>32 Health and social care associate professionals</v>
      </c>
      <c r="B15" s="55">
        <f>'Basic T2'!D15</f>
        <v>3.8733213013957192E-2</v>
      </c>
      <c r="C15" s="55">
        <f>'Basic T2'!O15</f>
        <v>1.2407969519020348</v>
      </c>
      <c r="D15" s="55">
        <f>'Basic T2'!Z15</f>
        <v>3.4708237795724934</v>
      </c>
      <c r="E15" s="55">
        <f>'Basic T2'!AK15</f>
        <v>1.8312643023177801</v>
      </c>
      <c r="F15" s="55">
        <f>'Basic T2'!AV15</f>
        <v>0.4868168356526329</v>
      </c>
      <c r="G15" s="55">
        <f>'Basic T2'!BG15</f>
        <v>1.9732219188287832</v>
      </c>
      <c r="H15" s="55">
        <f>'Basic T2'!BR15</f>
        <v>1.394629924351392</v>
      </c>
      <c r="I15" s="55">
        <f>'Basic T2'!CC15</f>
        <v>0.4434376536640845</v>
      </c>
      <c r="J15" s="55">
        <f>'Basic T2'!CN15</f>
        <v>0.12215912615490418</v>
      </c>
      <c r="K15" s="280">
        <f t="shared" si="12"/>
        <v>11.001883705458059</v>
      </c>
      <c r="L15" s="79"/>
      <c r="M15" s="79">
        <f t="shared" si="0"/>
        <v>0.5461868249777595</v>
      </c>
      <c r="N15" s="79">
        <f t="shared" si="1"/>
        <v>2.5896274145116438</v>
      </c>
      <c r="O15" s="79">
        <f t="shared" si="2"/>
        <v>3.8127018175159009</v>
      </c>
      <c r="P15" s="79">
        <f t="shared" si="3"/>
        <v>6.5806266044227</v>
      </c>
      <c r="Q15" s="79">
        <f t="shared" si="4"/>
        <v>1.8056800063533489</v>
      </c>
      <c r="R15" s="79">
        <f t="shared" si="5"/>
        <v>1.8890840037581316</v>
      </c>
      <c r="S15" s="79">
        <f t="shared" si="6"/>
        <v>1.407328329705352</v>
      </c>
      <c r="T15" s="79">
        <f t="shared" si="7"/>
        <v>0.7387531755795409</v>
      </c>
      <c r="U15" s="79">
        <f t="shared" si="8"/>
        <v>0.38426925838556814</v>
      </c>
      <c r="V15" s="79">
        <f t="shared" si="9"/>
        <v>2.2172544822101963</v>
      </c>
      <c r="W15" s="79"/>
      <c r="X15" s="79">
        <f t="shared" si="10"/>
        <v>0.35205982948848619</v>
      </c>
      <c r="Y15" s="79">
        <f t="shared" si="11"/>
        <v>11.278040971169988</v>
      </c>
      <c r="Z15" s="79">
        <f t="shared" si="11"/>
        <v>31.547541061996593</v>
      </c>
      <c r="AA15" s="79">
        <f t="shared" si="11"/>
        <v>16.645006903765815</v>
      </c>
      <c r="AB15" s="79">
        <f t="shared" si="11"/>
        <v>4.4248498592211254</v>
      </c>
      <c r="AC15" s="79">
        <f t="shared" si="11"/>
        <v>17.935309731095078</v>
      </c>
      <c r="AD15" s="79">
        <f t="shared" si="11"/>
        <v>12.676283095589467</v>
      </c>
      <c r="AE15" s="79">
        <f t="shared" si="11"/>
        <v>4.0305611796650247</v>
      </c>
      <c r="AF15" s="79">
        <f t="shared" si="11"/>
        <v>1.1103473680084508</v>
      </c>
      <c r="AG15" s="79">
        <f t="shared" si="11"/>
        <v>100</v>
      </c>
    </row>
    <row r="16" spans="1:33">
      <c r="A16" s="10" t="str">
        <f>name!D12</f>
        <v>33 Protective service occupations</v>
      </c>
      <c r="B16" s="55">
        <f>'Basic T2'!D16</f>
        <v>2.2432930127284478E-2</v>
      </c>
      <c r="C16" s="55">
        <f>'Basic T2'!O16</f>
        <v>0.26295984207773249</v>
      </c>
      <c r="D16" s="55">
        <f>'Basic T2'!Z16</f>
        <v>1.124342968392632</v>
      </c>
      <c r="E16" s="55">
        <f>'Basic T2'!AK16</f>
        <v>0.33206457252668936</v>
      </c>
      <c r="F16" s="55">
        <f>'Basic T2'!AV16</f>
        <v>0.26767528822835562</v>
      </c>
      <c r="G16" s="55">
        <f>'Basic T2'!BG16</f>
        <v>0.88226416705534028</v>
      </c>
      <c r="H16" s="55">
        <f>'Basic T2'!BR16</f>
        <v>1.0800754169133155</v>
      </c>
      <c r="I16" s="55">
        <f>'Basic T2'!CC16</f>
        <v>0.58393212527107796</v>
      </c>
      <c r="J16" s="55">
        <f>'Basic T2'!CN16</f>
        <v>0.13157433054553327</v>
      </c>
      <c r="K16" s="280">
        <f t="shared" si="12"/>
        <v>4.6873216411379612</v>
      </c>
      <c r="L16" s="79"/>
      <c r="M16" s="79">
        <f t="shared" si="0"/>
        <v>0.31633241674927209</v>
      </c>
      <c r="N16" s="79">
        <f t="shared" si="1"/>
        <v>0.54881502965999662</v>
      </c>
      <c r="O16" s="79">
        <f t="shared" si="2"/>
        <v>1.2350913648603101</v>
      </c>
      <c r="P16" s="79">
        <f t="shared" si="3"/>
        <v>1.1932701126700527</v>
      </c>
      <c r="Q16" s="79">
        <f t="shared" si="4"/>
        <v>0.99284963204044774</v>
      </c>
      <c r="R16" s="79">
        <f t="shared" si="5"/>
        <v>0.84464454259787314</v>
      </c>
      <c r="S16" s="79">
        <f t="shared" si="6"/>
        <v>1.089909735837163</v>
      </c>
      <c r="T16" s="79">
        <f t="shared" si="7"/>
        <v>0.97281254377577486</v>
      </c>
      <c r="U16" s="79">
        <f t="shared" si="8"/>
        <v>0.41388615007933977</v>
      </c>
      <c r="V16" s="79">
        <f t="shared" si="9"/>
        <v>0.94465504241042042</v>
      </c>
      <c r="W16" s="79"/>
      <c r="X16" s="79">
        <f t="shared" si="10"/>
        <v>0.47858738624640951</v>
      </c>
      <c r="Y16" s="79">
        <f t="shared" si="11"/>
        <v>5.6100234251023702</v>
      </c>
      <c r="Z16" s="79">
        <f t="shared" si="11"/>
        <v>23.986896024478288</v>
      </c>
      <c r="AA16" s="79">
        <f t="shared" si="11"/>
        <v>7.0843137712664541</v>
      </c>
      <c r="AB16" s="79">
        <f t="shared" si="11"/>
        <v>5.7106234374684588</v>
      </c>
      <c r="AC16" s="79">
        <f t="shared" si="11"/>
        <v>18.822351752271672</v>
      </c>
      <c r="AD16" s="79">
        <f t="shared" si="11"/>
        <v>23.042485658208449</v>
      </c>
      <c r="AE16" s="79">
        <f t="shared" si="11"/>
        <v>12.457692686293109</v>
      </c>
      <c r="AF16" s="79">
        <f t="shared" si="11"/>
        <v>2.8070258586647876</v>
      </c>
      <c r="AG16" s="79">
        <f t="shared" si="11"/>
        <v>100</v>
      </c>
    </row>
    <row r="17" spans="1:33">
      <c r="A17" s="10" t="str">
        <f>name!D13</f>
        <v>34 Culture, media and sports occupations</v>
      </c>
      <c r="B17" s="55">
        <f>'Basic T2'!D17</f>
        <v>7.6039895423084883E-2</v>
      </c>
      <c r="C17" s="55">
        <f>'Basic T2'!O17</f>
        <v>1.3351642188410457</v>
      </c>
      <c r="D17" s="55">
        <f>'Basic T2'!Z17</f>
        <v>2.7855782609015396</v>
      </c>
      <c r="E17" s="55">
        <f>'Basic T2'!AK17</f>
        <v>0.40391274259369137</v>
      </c>
      <c r="F17" s="55">
        <f>'Basic T2'!AV17</f>
        <v>0.44941487694805166</v>
      </c>
      <c r="G17" s="55">
        <f>'Basic T2'!BG17</f>
        <v>1.3412787689100634</v>
      </c>
      <c r="H17" s="55">
        <f>'Basic T2'!BR17</f>
        <v>0.57269757331096904</v>
      </c>
      <c r="I17" s="55">
        <f>'Basic T2'!CC17</f>
        <v>0.44332395509340033</v>
      </c>
      <c r="J17" s="55">
        <f>'Basic T2'!CN17</f>
        <v>0.2881935504382131</v>
      </c>
      <c r="K17" s="280">
        <f t="shared" si="12"/>
        <v>7.6956038424600592</v>
      </c>
      <c r="L17" s="79"/>
      <c r="M17" s="79">
        <f t="shared" si="0"/>
        <v>1.0722577813983543</v>
      </c>
      <c r="N17" s="79">
        <f t="shared" si="1"/>
        <v>2.7865783025060042</v>
      </c>
      <c r="O17" s="79">
        <f t="shared" si="2"/>
        <v>3.0599592409961636</v>
      </c>
      <c r="P17" s="79">
        <f t="shared" si="3"/>
        <v>1.4514556617595984</v>
      </c>
      <c r="Q17" s="79">
        <f t="shared" si="4"/>
        <v>1.6669502745831313</v>
      </c>
      <c r="R17" s="79">
        <f t="shared" si="5"/>
        <v>1.2840868240670791</v>
      </c>
      <c r="S17" s="79">
        <f t="shared" si="6"/>
        <v>0.57791210786536995</v>
      </c>
      <c r="T17" s="79">
        <f t="shared" si="7"/>
        <v>0.73856375733898849</v>
      </c>
      <c r="U17" s="79">
        <f t="shared" si="8"/>
        <v>0.9065546339777093</v>
      </c>
      <c r="V17" s="79">
        <f t="shared" si="9"/>
        <v>1.5509264204041282</v>
      </c>
      <c r="W17" s="79"/>
      <c r="X17" s="79">
        <f t="shared" si="10"/>
        <v>0.98809524216331224</v>
      </c>
      <c r="Y17" s="79">
        <f t="shared" si="11"/>
        <v>17.34970050659771</v>
      </c>
      <c r="Z17" s="79">
        <f t="shared" si="11"/>
        <v>36.197006991605633</v>
      </c>
      <c r="AA17" s="79">
        <f t="shared" si="11"/>
        <v>5.248616624014943</v>
      </c>
      <c r="AB17" s="79">
        <f t="shared" si="11"/>
        <v>5.8398910098312298</v>
      </c>
      <c r="AC17" s="79">
        <f t="shared" si="11"/>
        <v>17.429155611020846</v>
      </c>
      <c r="AD17" s="79">
        <f t="shared" si="11"/>
        <v>7.4418796112027303</v>
      </c>
      <c r="AE17" s="79">
        <f t="shared" si="11"/>
        <v>5.7607429406304087</v>
      </c>
      <c r="AF17" s="79">
        <f t="shared" si="11"/>
        <v>3.7449114629331808</v>
      </c>
      <c r="AG17" s="79">
        <f t="shared" si="11"/>
        <v>100</v>
      </c>
    </row>
    <row r="18" spans="1:33">
      <c r="A18" s="10" t="str">
        <f>name!D14</f>
        <v>35 Business and public service associate professionals</v>
      </c>
      <c r="B18" s="55">
        <f>'Basic T2'!D18</f>
        <v>0.32599811584593136</v>
      </c>
      <c r="C18" s="55">
        <f>'Basic T2'!O18</f>
        <v>3.4406607165194942</v>
      </c>
      <c r="D18" s="55">
        <f>'Basic T2'!Z18</f>
        <v>7.2118454489882708</v>
      </c>
      <c r="E18" s="55">
        <f>'Basic T2'!AK18</f>
        <v>2.1830122364258782</v>
      </c>
      <c r="F18" s="55">
        <f>'Basic T2'!AV18</f>
        <v>1.9063882231556719</v>
      </c>
      <c r="G18" s="55">
        <f>'Basic T2'!BG18</f>
        <v>5.6383060969666561</v>
      </c>
      <c r="H18" s="55">
        <f>'Basic T2'!BR18</f>
        <v>4.4396430658008654</v>
      </c>
      <c r="I18" s="55">
        <f>'Basic T2'!CC18</f>
        <v>2.6004774873929857</v>
      </c>
      <c r="J18" s="55">
        <f>'Basic T2'!CN18</f>
        <v>0.97256066593665447</v>
      </c>
      <c r="K18" s="280">
        <f t="shared" si="12"/>
        <v>28.718892057032409</v>
      </c>
      <c r="L18" s="79"/>
      <c r="M18" s="79">
        <f t="shared" si="0"/>
        <v>4.5969818145078776</v>
      </c>
      <c r="N18" s="79">
        <f t="shared" si="1"/>
        <v>7.1808923304283203</v>
      </c>
      <c r="O18" s="79">
        <f t="shared" si="2"/>
        <v>7.9222161645982965</v>
      </c>
      <c r="P18" s="79">
        <f t="shared" si="3"/>
        <v>7.84462864405881</v>
      </c>
      <c r="Q18" s="79">
        <f t="shared" si="4"/>
        <v>7.0710929589870393</v>
      </c>
      <c r="R18" s="79">
        <f t="shared" si="5"/>
        <v>5.3978894894872003</v>
      </c>
      <c r="S18" s="79">
        <f t="shared" si="6"/>
        <v>4.4800669705888376</v>
      </c>
      <c r="T18" s="79">
        <f t="shared" si="7"/>
        <v>4.3323136543789431</v>
      </c>
      <c r="U18" s="79">
        <f t="shared" si="8"/>
        <v>3.0593307073967551</v>
      </c>
      <c r="V18" s="79">
        <f t="shared" si="9"/>
        <v>5.7878354145822826</v>
      </c>
      <c r="W18" s="79"/>
      <c r="X18" s="79">
        <f t="shared" si="10"/>
        <v>1.1351347231590156</v>
      </c>
      <c r="Y18" s="79">
        <f t="shared" si="11"/>
        <v>11.980478598153226</v>
      </c>
      <c r="Z18" s="79">
        <f t="shared" si="11"/>
        <v>25.111851232514041</v>
      </c>
      <c r="AA18" s="79">
        <f t="shared" si="11"/>
        <v>7.6013107751185789</v>
      </c>
      <c r="AB18" s="79">
        <f t="shared" si="11"/>
        <v>6.6380980832053158</v>
      </c>
      <c r="AC18" s="79">
        <f t="shared" si="11"/>
        <v>19.632742397476999</v>
      </c>
      <c r="AD18" s="79">
        <f t="shared" si="11"/>
        <v>15.458963587398308</v>
      </c>
      <c r="AE18" s="79">
        <f t="shared" si="11"/>
        <v>9.054936667573168</v>
      </c>
      <c r="AF18" s="79">
        <f t="shared" si="11"/>
        <v>3.3864839354013418</v>
      </c>
      <c r="AG18" s="79">
        <f t="shared" si="11"/>
        <v>100</v>
      </c>
    </row>
    <row r="19" spans="1:33">
      <c r="A19" s="10" t="str">
        <f>name!D15</f>
        <v>41 Administrative occupations</v>
      </c>
      <c r="B19" s="55">
        <f>'Basic T2'!D19</f>
        <v>0.27930704803573281</v>
      </c>
      <c r="C19" s="55">
        <f>'Basic T2'!O19</f>
        <v>2.913821387094532</v>
      </c>
      <c r="D19" s="55">
        <f>'Basic T2'!Z19</f>
        <v>9.1944183745609376</v>
      </c>
      <c r="E19" s="55">
        <f>'Basic T2'!AK19</f>
        <v>3.4275540596470844</v>
      </c>
      <c r="F19" s="55">
        <f>'Basic T2'!AV19</f>
        <v>3.1883325092039434</v>
      </c>
      <c r="G19" s="55">
        <f>'Basic T2'!BG19</f>
        <v>9.8895340020557221</v>
      </c>
      <c r="H19" s="55">
        <f>'Basic T2'!BR19</f>
        <v>11.379675569731608</v>
      </c>
      <c r="I19" s="55">
        <f>'Basic T2'!CC19</f>
        <v>4.9009950763662768</v>
      </c>
      <c r="J19" s="55">
        <f>'Basic T2'!CN19</f>
        <v>2.0244289830535291</v>
      </c>
      <c r="K19" s="280">
        <f t="shared" si="12"/>
        <v>47.198067009749373</v>
      </c>
      <c r="L19" s="79"/>
      <c r="M19" s="79">
        <f t="shared" si="0"/>
        <v>3.9385792680193084</v>
      </c>
      <c r="N19" s="79">
        <f t="shared" si="1"/>
        <v>6.0813429090419824</v>
      </c>
      <c r="O19" s="79">
        <f t="shared" si="2"/>
        <v>10.100073606159263</v>
      </c>
      <c r="P19" s="79">
        <f t="shared" si="3"/>
        <v>12.316874961447578</v>
      </c>
      <c r="Q19" s="79">
        <f t="shared" si="4"/>
        <v>11.826025403903529</v>
      </c>
      <c r="R19" s="79">
        <f t="shared" si="5"/>
        <v>9.467845613125208</v>
      </c>
      <c r="S19" s="79">
        <f t="shared" si="6"/>
        <v>11.48328996281027</v>
      </c>
      <c r="T19" s="79">
        <f t="shared" si="7"/>
        <v>8.1649035580275733</v>
      </c>
      <c r="U19" s="79">
        <f t="shared" si="8"/>
        <v>6.3681351402741599</v>
      </c>
      <c r="V19" s="79">
        <f t="shared" si="9"/>
        <v>9.5120188897385649</v>
      </c>
      <c r="W19" s="79"/>
      <c r="X19" s="79">
        <f t="shared" si="10"/>
        <v>0.59177645554433045</v>
      </c>
      <c r="Y19" s="79">
        <f t="shared" si="11"/>
        <v>6.1736032250910702</v>
      </c>
      <c r="Z19" s="79">
        <f t="shared" si="11"/>
        <v>19.48049773449771</v>
      </c>
      <c r="AA19" s="79">
        <f t="shared" si="11"/>
        <v>7.2620644801811034</v>
      </c>
      <c r="AB19" s="79">
        <f t="shared" si="11"/>
        <v>6.7552184044854036</v>
      </c>
      <c r="AC19" s="79">
        <f t="shared" si="11"/>
        <v>20.953260649451831</v>
      </c>
      <c r="AD19" s="79">
        <f t="shared" si="11"/>
        <v>24.110469539739814</v>
      </c>
      <c r="AE19" s="79">
        <f t="shared" si="11"/>
        <v>10.383889398169448</v>
      </c>
      <c r="AF19" s="79">
        <f t="shared" si="11"/>
        <v>4.289220112839276</v>
      </c>
      <c r="AG19" s="79">
        <f t="shared" si="11"/>
        <v>100</v>
      </c>
    </row>
    <row r="20" spans="1:33">
      <c r="A20" s="10" t="str">
        <f>name!D16</f>
        <v>42 Secretarial and related occupations</v>
      </c>
      <c r="B20" s="55">
        <f>'Basic T2'!D20</f>
        <v>2.0648601889918135E-2</v>
      </c>
      <c r="C20" s="55">
        <f>'Basic T2'!O20</f>
        <v>0.47265356465006436</v>
      </c>
      <c r="D20" s="55">
        <f>'Basic T2'!Z20</f>
        <v>1.3728268271190882</v>
      </c>
      <c r="E20" s="55">
        <f>'Basic T2'!AK20</f>
        <v>0.70672062399025171</v>
      </c>
      <c r="F20" s="55">
        <f>'Basic T2'!AV20</f>
        <v>0.55548511552801272</v>
      </c>
      <c r="G20" s="55">
        <f>'Basic T2'!BG20</f>
        <v>1.7787249574536648</v>
      </c>
      <c r="H20" s="55">
        <f>'Basic T2'!BR20</f>
        <v>2.0317734352043391</v>
      </c>
      <c r="I20" s="55">
        <f>'Basic T2'!CC20</f>
        <v>1.6820682967364342</v>
      </c>
      <c r="J20" s="55">
        <f>'Basic T2'!CN20</f>
        <v>0.65943185089343614</v>
      </c>
      <c r="K20" s="280">
        <f t="shared" si="12"/>
        <v>9.2803332734652084</v>
      </c>
      <c r="L20" s="79"/>
      <c r="M20" s="79">
        <f t="shared" si="0"/>
        <v>0.29117115335668692</v>
      </c>
      <c r="N20" s="79">
        <f t="shared" si="1"/>
        <v>0.98646005432893524</v>
      </c>
      <c r="O20" s="79">
        <f t="shared" si="2"/>
        <v>1.5080510193854431</v>
      </c>
      <c r="P20" s="79">
        <f t="shared" si="3"/>
        <v>2.5395922009937317</v>
      </c>
      <c r="Q20" s="79">
        <f t="shared" si="4"/>
        <v>2.0603814278344337</v>
      </c>
      <c r="R20" s="79">
        <f t="shared" si="5"/>
        <v>1.7028803664442989</v>
      </c>
      <c r="S20" s="79">
        <f t="shared" si="6"/>
        <v>2.0502731692320824</v>
      </c>
      <c r="T20" s="79">
        <f t="shared" si="7"/>
        <v>2.8022728459975057</v>
      </c>
      <c r="U20" s="79">
        <f t="shared" si="8"/>
        <v>2.0743385801345662</v>
      </c>
      <c r="V20" s="79">
        <f t="shared" si="9"/>
        <v>1.8703034042058568</v>
      </c>
      <c r="W20" s="79"/>
      <c r="X20" s="79">
        <f t="shared" si="10"/>
        <v>0.22249849527449245</v>
      </c>
      <c r="Y20" s="79">
        <f t="shared" si="11"/>
        <v>5.0930667113162738</v>
      </c>
      <c r="Z20" s="79">
        <f t="shared" si="11"/>
        <v>14.792861276268418</v>
      </c>
      <c r="AA20" s="79">
        <f t="shared" si="11"/>
        <v>7.6152504782445964</v>
      </c>
      <c r="AB20" s="79">
        <f t="shared" si="11"/>
        <v>5.9856160243326979</v>
      </c>
      <c r="AC20" s="79">
        <f t="shared" si="11"/>
        <v>19.166606468104803</v>
      </c>
      <c r="AD20" s="79">
        <f t="shared" si="11"/>
        <v>21.893324036257265</v>
      </c>
      <c r="AE20" s="79">
        <f t="shared" si="11"/>
        <v>18.125085028421207</v>
      </c>
      <c r="AF20" s="79">
        <f t="shared" si="11"/>
        <v>7.1056914817802559</v>
      </c>
      <c r="AG20" s="79">
        <f t="shared" si="11"/>
        <v>100</v>
      </c>
    </row>
    <row r="21" spans="1:33">
      <c r="A21" s="10" t="str">
        <f>name!D17</f>
        <v>51 Skilled agricultural and related trades</v>
      </c>
      <c r="B21" s="55">
        <f>'Basic T2'!D21</f>
        <v>6.4874057331890146E-3</v>
      </c>
      <c r="C21" s="55">
        <f>'Basic T2'!O21</f>
        <v>5.1388624470621397E-2</v>
      </c>
      <c r="D21" s="55">
        <f>'Basic T2'!Z21</f>
        <v>0.34538868902250341</v>
      </c>
      <c r="E21" s="55">
        <f>'Basic T2'!AK21</f>
        <v>0.13700200541335261</v>
      </c>
      <c r="F21" s="55">
        <f>'Basic T2'!AV21</f>
        <v>0.27409151494287032</v>
      </c>
      <c r="G21" s="55">
        <f>'Basic T2'!BG21</f>
        <v>0.42892089512295456</v>
      </c>
      <c r="H21" s="55">
        <f>'Basic T2'!BR21</f>
        <v>0.76508482743752015</v>
      </c>
      <c r="I21" s="55">
        <f>'Basic T2'!CC21</f>
        <v>0.71514612342379791</v>
      </c>
      <c r="J21" s="55">
        <f>'Basic T2'!CN21</f>
        <v>0.46963499929906038</v>
      </c>
      <c r="K21" s="280">
        <f t="shared" si="12"/>
        <v>3.1931450848658702</v>
      </c>
      <c r="L21" s="79"/>
      <c r="M21" s="79">
        <f t="shared" si="0"/>
        <v>9.1480547675613949E-2</v>
      </c>
      <c r="N21" s="79">
        <f t="shared" si="1"/>
        <v>0.10725154548386739</v>
      </c>
      <c r="O21" s="79">
        <f t="shared" si="2"/>
        <v>0.37940966353173172</v>
      </c>
      <c r="P21" s="79">
        <f t="shared" si="3"/>
        <v>0.49231508556208559</v>
      </c>
      <c r="Q21" s="79">
        <f t="shared" si="4"/>
        <v>1.0166484233848301</v>
      </c>
      <c r="R21" s="79">
        <f t="shared" si="5"/>
        <v>0.41063176631208886</v>
      </c>
      <c r="S21" s="79">
        <f t="shared" si="6"/>
        <v>0.7720510893105289</v>
      </c>
      <c r="T21" s="79">
        <f t="shared" si="7"/>
        <v>1.1914109352629365</v>
      </c>
      <c r="U21" s="79">
        <f t="shared" si="8"/>
        <v>1.4773050411617714</v>
      </c>
      <c r="V21" s="79">
        <f t="shared" si="9"/>
        <v>0.64352754867367812</v>
      </c>
      <c r="W21" s="79"/>
      <c r="X21" s="79">
        <f t="shared" si="10"/>
        <v>0.20316664482101107</v>
      </c>
      <c r="Y21" s="79">
        <f t="shared" si="11"/>
        <v>1.609341984308239</v>
      </c>
      <c r="Z21" s="79">
        <f t="shared" si="11"/>
        <v>10.816567360484081</v>
      </c>
      <c r="AA21" s="79">
        <f t="shared" si="11"/>
        <v>4.2905036186010781</v>
      </c>
      <c r="AB21" s="79">
        <f t="shared" si="11"/>
        <v>8.5837476111544646</v>
      </c>
      <c r="AC21" s="79">
        <f t="shared" si="11"/>
        <v>13.432552662760438</v>
      </c>
      <c r="AD21" s="79">
        <f t="shared" si="11"/>
        <v>23.96022752187779</v>
      </c>
      <c r="AE21" s="79">
        <f t="shared" si="11"/>
        <v>22.396292821559594</v>
      </c>
      <c r="AF21" s="79">
        <f t="shared" si="11"/>
        <v>14.707599774433289</v>
      </c>
      <c r="AG21" s="79">
        <f t="shared" si="11"/>
        <v>100</v>
      </c>
    </row>
    <row r="22" spans="1:33">
      <c r="A22" s="10" t="str">
        <f>name!D18</f>
        <v>52 Skilled metal, electrical and electronic trades</v>
      </c>
      <c r="B22" s="55">
        <f>'Basic T2'!D22</f>
        <v>1.1464323518649107E-2</v>
      </c>
      <c r="C22" s="55">
        <f>'Basic T2'!O22</f>
        <v>0.34914786357303379</v>
      </c>
      <c r="D22" s="55">
        <f>'Basic T2'!Z22</f>
        <v>0.95692385548505654</v>
      </c>
      <c r="E22" s="55">
        <f>'Basic T2'!AK22</f>
        <v>0.37271386732364625</v>
      </c>
      <c r="F22" s="55">
        <f>'Basic T2'!AV22</f>
        <v>1.7895018474807844</v>
      </c>
      <c r="G22" s="55">
        <f>'Basic T2'!BG22</f>
        <v>9.8300659100997692</v>
      </c>
      <c r="H22" s="55">
        <f>'Basic T2'!BR22</f>
        <v>5.6803137930496961</v>
      </c>
      <c r="I22" s="55">
        <f>'Basic T2'!CC22</f>
        <v>2.8024218417015874</v>
      </c>
      <c r="J22" s="55">
        <f>'Basic T2'!CN22</f>
        <v>1.444272980015455</v>
      </c>
      <c r="K22" s="280">
        <f t="shared" si="12"/>
        <v>23.236826282247677</v>
      </c>
      <c r="L22" s="79"/>
      <c r="M22" s="79">
        <f t="shared" si="0"/>
        <v>0.16166132308498327</v>
      </c>
      <c r="N22" s="79">
        <f t="shared" si="1"/>
        <v>0.72869527753182817</v>
      </c>
      <c r="O22" s="79">
        <f t="shared" si="2"/>
        <v>1.0511813778922494</v>
      </c>
      <c r="P22" s="79">
        <f t="shared" si="3"/>
        <v>1.3393428725951553</v>
      </c>
      <c r="Q22" s="79">
        <f t="shared" si="4"/>
        <v>6.6375430566129738</v>
      </c>
      <c r="R22" s="79">
        <f t="shared" si="5"/>
        <v>9.4109132325470064</v>
      </c>
      <c r="S22" s="79">
        <f t="shared" si="6"/>
        <v>5.7320342715955599</v>
      </c>
      <c r="T22" s="79">
        <f t="shared" si="7"/>
        <v>4.6687465932670156</v>
      </c>
      <c r="U22" s="79">
        <f t="shared" si="8"/>
        <v>4.5431702436467774</v>
      </c>
      <c r="V22" s="79">
        <f t="shared" si="9"/>
        <v>4.6830123464305649</v>
      </c>
      <c r="W22" s="79"/>
      <c r="X22" s="79">
        <f t="shared" si="10"/>
        <v>4.9336873200311125E-2</v>
      </c>
      <c r="Y22" s="79">
        <f t="shared" si="11"/>
        <v>1.5025626104532768</v>
      </c>
      <c r="Z22" s="79">
        <f t="shared" si="11"/>
        <v>4.1181349116343018</v>
      </c>
      <c r="AA22" s="79">
        <f t="shared" si="11"/>
        <v>1.6039792301945719</v>
      </c>
      <c r="AB22" s="79">
        <f t="shared" si="11"/>
        <v>7.7011456975426826</v>
      </c>
      <c r="AC22" s="79">
        <f t="shared" si="11"/>
        <v>42.303823210184603</v>
      </c>
      <c r="AD22" s="79">
        <f t="shared" si="11"/>
        <v>24.445308167532783</v>
      </c>
      <c r="AE22" s="79">
        <f t="shared" si="11"/>
        <v>12.060260758770504</v>
      </c>
      <c r="AF22" s="79">
        <f t="shared" si="11"/>
        <v>6.2154485404869657</v>
      </c>
      <c r="AG22" s="79">
        <f t="shared" si="11"/>
        <v>100</v>
      </c>
    </row>
    <row r="23" spans="1:33">
      <c r="A23" s="10" t="str">
        <f>name!D19</f>
        <v>53 Skilled construction and building trades</v>
      </c>
      <c r="B23" s="55">
        <f>'Basic T2'!D23</f>
        <v>3.5356937275610512E-3</v>
      </c>
      <c r="C23" s="55">
        <f>'Basic T2'!O23</f>
        <v>0.14059944724793219</v>
      </c>
      <c r="D23" s="55">
        <f>'Basic T2'!Z23</f>
        <v>0.4832356462723717</v>
      </c>
      <c r="E23" s="55">
        <f>'Basic T2'!AK23</f>
        <v>0.36860761709271006</v>
      </c>
      <c r="F23" s="55">
        <f>'Basic T2'!AV23</f>
        <v>0.53358704843977633</v>
      </c>
      <c r="G23" s="55">
        <f>'Basic T2'!BG23</f>
        <v>5.6734510206812061</v>
      </c>
      <c r="H23" s="55">
        <f>'Basic T2'!BR23</f>
        <v>5.5984203141260878</v>
      </c>
      <c r="I23" s="55">
        <f>'Basic T2'!CC23</f>
        <v>2.6774607516522253</v>
      </c>
      <c r="J23" s="55">
        <f>'Basic T2'!CN23</f>
        <v>1.9945758633782662</v>
      </c>
      <c r="K23" s="280">
        <f t="shared" si="12"/>
        <v>17.473473402618136</v>
      </c>
      <c r="L23" s="79"/>
      <c r="M23" s="79">
        <f t="shared" si="0"/>
        <v>4.9857710757289259E-2</v>
      </c>
      <c r="N23" s="79">
        <f t="shared" si="1"/>
        <v>0.29344058469864448</v>
      </c>
      <c r="O23" s="79">
        <f t="shared" si="2"/>
        <v>0.53083462135841364</v>
      </c>
      <c r="P23" s="79">
        <f t="shared" si="3"/>
        <v>1.3245871109719343</v>
      </c>
      <c r="Q23" s="79">
        <f t="shared" si="4"/>
        <v>1.9791580620360767</v>
      </c>
      <c r="R23" s="79">
        <f t="shared" si="5"/>
        <v>5.4315358384198449</v>
      </c>
      <c r="S23" s="79">
        <f t="shared" si="6"/>
        <v>5.6493951349364764</v>
      </c>
      <c r="T23" s="79">
        <f t="shared" si="7"/>
        <v>4.4605653498947992</v>
      </c>
      <c r="U23" s="79">
        <f t="shared" si="8"/>
        <v>6.2742278202139108</v>
      </c>
      <c r="V23" s="79">
        <f t="shared" si="9"/>
        <v>3.5215003411202344</v>
      </c>
      <c r="W23" s="79"/>
      <c r="X23" s="79">
        <f t="shared" si="10"/>
        <v>2.023463593123552E-2</v>
      </c>
      <c r="Y23" s="79">
        <f t="shared" si="11"/>
        <v>0.80464509836301634</v>
      </c>
      <c r="Z23" s="79">
        <f t="shared" si="11"/>
        <v>2.7655385688798781</v>
      </c>
      <c r="AA23" s="79">
        <f t="shared" si="11"/>
        <v>2.1095268731028587</v>
      </c>
      <c r="AB23" s="79">
        <f t="shared" si="11"/>
        <v>3.0536976601333676</v>
      </c>
      <c r="AC23" s="79">
        <f t="shared" si="11"/>
        <v>32.468936713127256</v>
      </c>
      <c r="AD23" s="79">
        <f t="shared" si="11"/>
        <v>32.039538934985003</v>
      </c>
      <c r="AE23" s="79">
        <f t="shared" si="11"/>
        <v>15.323002416056832</v>
      </c>
      <c r="AF23" s="79">
        <f t="shared" si="11"/>
        <v>11.414879099420547</v>
      </c>
      <c r="AG23" s="79">
        <f t="shared" si="11"/>
        <v>100</v>
      </c>
    </row>
    <row r="24" spans="1:33">
      <c r="A24" s="10" t="str">
        <f>name!D20</f>
        <v>54 Textiles, printing and other skilled trades</v>
      </c>
      <c r="B24" s="55">
        <f>'Basic T2'!D24</f>
        <v>3.0993165750762212E-2</v>
      </c>
      <c r="C24" s="55">
        <f>'Basic T2'!O24</f>
        <v>0.29977725198786687</v>
      </c>
      <c r="D24" s="55">
        <f>'Basic T2'!Z24</f>
        <v>0.64773474534466513</v>
      </c>
      <c r="E24" s="55">
        <f>'Basic T2'!AK24</f>
        <v>0.25854393497278039</v>
      </c>
      <c r="F24" s="55">
        <f>'Basic T2'!AV24</f>
        <v>0.28979790364263391</v>
      </c>
      <c r="G24" s="55">
        <f>'Basic T2'!BG24</f>
        <v>2.0041714890091522</v>
      </c>
      <c r="H24" s="55">
        <f>'Basic T2'!BR24</f>
        <v>2.0514040727666725</v>
      </c>
      <c r="I24" s="55">
        <f>'Basic T2'!CC24</f>
        <v>1.5800721221504035</v>
      </c>
      <c r="J24" s="55">
        <f>'Basic T2'!CN24</f>
        <v>1.1669076436963572</v>
      </c>
      <c r="K24" s="280">
        <f t="shared" si="12"/>
        <v>8.3294023293212938</v>
      </c>
      <c r="L24" s="79"/>
      <c r="M24" s="79">
        <f t="shared" si="0"/>
        <v>0.43704246253256518</v>
      </c>
      <c r="N24" s="79">
        <f t="shared" si="1"/>
        <v>0.62565546184226739</v>
      </c>
      <c r="O24" s="79">
        <f t="shared" si="2"/>
        <v>0.71153697153359674</v>
      </c>
      <c r="P24" s="79">
        <f t="shared" si="3"/>
        <v>0.92907457145351457</v>
      </c>
      <c r="Q24" s="79">
        <f t="shared" si="4"/>
        <v>1.0749058828031277</v>
      </c>
      <c r="R24" s="79">
        <f t="shared" si="5"/>
        <v>1.9187138884624466</v>
      </c>
      <c r="S24" s="79">
        <f t="shared" si="6"/>
        <v>2.0700825479706739</v>
      </c>
      <c r="T24" s="79">
        <f t="shared" si="7"/>
        <v>2.6323504290584268</v>
      </c>
      <c r="U24" s="79">
        <f t="shared" si="8"/>
        <v>3.6706773285120482</v>
      </c>
      <c r="V24" s="79">
        <f t="shared" si="9"/>
        <v>1.6786584137094149</v>
      </c>
      <c r="W24" s="79"/>
      <c r="X24" s="79">
        <f t="shared" si="10"/>
        <v>0.37209351314030759</v>
      </c>
      <c r="Y24" s="79">
        <f t="shared" ref="Y24:AG32" si="13">IF($K24&gt;0,C24/$K24*100,0)</f>
        <v>3.5990247575457635</v>
      </c>
      <c r="Z24" s="79">
        <f t="shared" si="13"/>
        <v>7.7764852715122066</v>
      </c>
      <c r="AA24" s="79">
        <f t="shared" si="13"/>
        <v>3.1039914360079588</v>
      </c>
      <c r="AB24" s="79">
        <f t="shared" si="13"/>
        <v>3.4792160611870404</v>
      </c>
      <c r="AC24" s="79">
        <f t="shared" si="13"/>
        <v>24.061408127135799</v>
      </c>
      <c r="AD24" s="79">
        <f t="shared" si="13"/>
        <v>24.628466625333818</v>
      </c>
      <c r="AE24" s="79">
        <f t="shared" si="13"/>
        <v>18.969813915558007</v>
      </c>
      <c r="AF24" s="79">
        <f t="shared" si="13"/>
        <v>14.009500292579101</v>
      </c>
      <c r="AG24" s="79">
        <f t="shared" si="13"/>
        <v>100</v>
      </c>
    </row>
    <row r="25" spans="1:33">
      <c r="A25" s="10" t="str">
        <f>name!D21</f>
        <v>61 Caring personal service occupations</v>
      </c>
      <c r="B25" s="55">
        <f>'Basic T2'!D25</f>
        <v>2.7400915804108666E-2</v>
      </c>
      <c r="C25" s="55">
        <f>'Basic T2'!O25</f>
        <v>1.648877940775634</v>
      </c>
      <c r="D25" s="55">
        <f>'Basic T2'!Z25</f>
        <v>5.0871228328913283</v>
      </c>
      <c r="E25" s="55">
        <f>'Basic T2'!AK25</f>
        <v>4.2006331630226796</v>
      </c>
      <c r="F25" s="55">
        <f>'Basic T2'!AV25</f>
        <v>2.3387631540885168</v>
      </c>
      <c r="G25" s="55">
        <f>'Basic T2'!BG25</f>
        <v>14.43868890488992</v>
      </c>
      <c r="H25" s="55">
        <f>'Basic T2'!BR25</f>
        <v>9.9779947209940332</v>
      </c>
      <c r="I25" s="55">
        <f>'Basic T2'!CC25</f>
        <v>1.4660701153049098</v>
      </c>
      <c r="J25" s="55">
        <f>'Basic T2'!CN25</f>
        <v>0.52346223229924793</v>
      </c>
      <c r="K25" s="280">
        <f t="shared" si="12"/>
        <v>39.709013980070374</v>
      </c>
      <c r="L25" s="79"/>
      <c r="M25" s="79">
        <f t="shared" si="0"/>
        <v>0.3863872382375339</v>
      </c>
      <c r="N25" s="79">
        <f t="shared" si="1"/>
        <v>3.4413201225797487</v>
      </c>
      <c r="O25" s="79">
        <f t="shared" si="2"/>
        <v>5.5882072103586893</v>
      </c>
      <c r="P25" s="79">
        <f t="shared" si="3"/>
        <v>15.094925573015649</v>
      </c>
      <c r="Q25" s="79">
        <f t="shared" si="4"/>
        <v>8.6748394008848226</v>
      </c>
      <c r="R25" s="79">
        <f t="shared" si="5"/>
        <v>13.823025167720274</v>
      </c>
      <c r="S25" s="79">
        <f t="shared" si="6"/>
        <v>10.06884650853601</v>
      </c>
      <c r="T25" s="79">
        <f t="shared" si="7"/>
        <v>2.4424266734105871</v>
      </c>
      <c r="U25" s="79">
        <f t="shared" si="8"/>
        <v>1.6466264136779813</v>
      </c>
      <c r="V25" s="79">
        <f t="shared" si="9"/>
        <v>8.0027194968238984</v>
      </c>
      <c r="W25" s="79"/>
      <c r="X25" s="79">
        <f t="shared" si="10"/>
        <v>6.9004271468087727E-2</v>
      </c>
      <c r="Y25" s="79">
        <f t="shared" si="13"/>
        <v>4.1524021261348674</v>
      </c>
      <c r="Z25" s="79">
        <f t="shared" si="13"/>
        <v>12.811002649032064</v>
      </c>
      <c r="AA25" s="79">
        <f t="shared" si="13"/>
        <v>10.578538074833443</v>
      </c>
      <c r="AB25" s="79">
        <f t="shared" si="13"/>
        <v>5.8897537855317248</v>
      </c>
      <c r="AC25" s="79">
        <f t="shared" si="13"/>
        <v>36.361237557136469</v>
      </c>
      <c r="AD25" s="79">
        <f t="shared" si="13"/>
        <v>25.127782638979419</v>
      </c>
      <c r="AE25" s="79">
        <f t="shared" si="13"/>
        <v>3.692033541907433</v>
      </c>
      <c r="AF25" s="79">
        <f t="shared" si="13"/>
        <v>1.318245354976503</v>
      </c>
      <c r="AG25" s="79">
        <f t="shared" si="13"/>
        <v>100</v>
      </c>
    </row>
    <row r="26" spans="1:33">
      <c r="A26" s="10" t="str">
        <f>name!D22</f>
        <v>62 Leisure, travel and related personal service occupations</v>
      </c>
      <c r="B26" s="55">
        <f>'Basic T2'!D26</f>
        <v>1.7170951827122732E-2</v>
      </c>
      <c r="C26" s="55">
        <f>'Basic T2'!O26</f>
        <v>0.23088990393483855</v>
      </c>
      <c r="D26" s="55">
        <f>'Basic T2'!Z26</f>
        <v>0.93384356837798443</v>
      </c>
      <c r="E26" s="55">
        <f>'Basic T2'!AK26</f>
        <v>0.62586487366166454</v>
      </c>
      <c r="F26" s="55">
        <f>'Basic T2'!AV26</f>
        <v>0.72455408037163693</v>
      </c>
      <c r="G26" s="55">
        <f>'Basic T2'!BG26</f>
        <v>2.1936744287136394</v>
      </c>
      <c r="H26" s="55">
        <f>'Basic T2'!BR26</f>
        <v>2.3295230642823586</v>
      </c>
      <c r="I26" s="55">
        <f>'Basic T2'!CC26</f>
        <v>1.392087677542144</v>
      </c>
      <c r="J26" s="55">
        <f>'Basic T2'!CN26</f>
        <v>0.73439934112158267</v>
      </c>
      <c r="K26" s="280">
        <f t="shared" si="12"/>
        <v>9.1820078898329704</v>
      </c>
      <c r="L26" s="79"/>
      <c r="M26" s="79">
        <f t="shared" si="0"/>
        <v>0.24213193098446911</v>
      </c>
      <c r="N26" s="79">
        <f t="shared" si="1"/>
        <v>0.48188289312530935</v>
      </c>
      <c r="O26" s="79">
        <f t="shared" si="2"/>
        <v>1.0258276698993989</v>
      </c>
      <c r="P26" s="79">
        <f t="shared" si="3"/>
        <v>2.2490380188041814</v>
      </c>
      <c r="Q26" s="79">
        <f t="shared" si="4"/>
        <v>2.6874847388851322</v>
      </c>
      <c r="R26" s="79">
        <f t="shared" si="5"/>
        <v>2.1001364485125471</v>
      </c>
      <c r="S26" s="79">
        <f t="shared" si="6"/>
        <v>2.3507338727091276</v>
      </c>
      <c r="T26" s="79">
        <f t="shared" si="7"/>
        <v>2.3191742603988552</v>
      </c>
      <c r="U26" s="79">
        <f t="shared" si="8"/>
        <v>2.31015969952001</v>
      </c>
      <c r="V26" s="79">
        <f t="shared" si="9"/>
        <v>1.8504874887308131</v>
      </c>
      <c r="W26" s="79"/>
      <c r="X26" s="79">
        <f t="shared" si="10"/>
        <v>0.18700650264236582</v>
      </c>
      <c r="Y26" s="79">
        <f t="shared" si="13"/>
        <v>2.5145905634703025</v>
      </c>
      <c r="Z26" s="79">
        <f t="shared" si="13"/>
        <v>10.170363384374873</v>
      </c>
      <c r="AA26" s="79">
        <f t="shared" si="13"/>
        <v>6.8162092776534262</v>
      </c>
      <c r="AB26" s="79">
        <f t="shared" si="13"/>
        <v>7.8910200150657595</v>
      </c>
      <c r="AC26" s="79">
        <f t="shared" si="13"/>
        <v>23.891010060475391</v>
      </c>
      <c r="AD26" s="79">
        <f t="shared" si="13"/>
        <v>25.370519087244382</v>
      </c>
      <c r="AE26" s="79">
        <f t="shared" si="13"/>
        <v>15.161037697251068</v>
      </c>
      <c r="AF26" s="79">
        <f t="shared" si="13"/>
        <v>7.998243411822445</v>
      </c>
      <c r="AG26" s="79">
        <f t="shared" si="13"/>
        <v>100</v>
      </c>
    </row>
    <row r="27" spans="1:33">
      <c r="A27" s="10" t="str">
        <f>name!D23</f>
        <v>63 Community and civil enforcement occupations</v>
      </c>
      <c r="B27" s="55">
        <f>'Basic T2'!D27</f>
        <v>1.3021404097811192E-3</v>
      </c>
      <c r="C27" s="55">
        <f>'Basic T2'!O27</f>
        <v>1.6142172010219294E-2</v>
      </c>
      <c r="D27" s="55">
        <f>'Basic T2'!Z27</f>
        <v>6.8915963889262952E-2</v>
      </c>
      <c r="E27" s="55">
        <f>'Basic T2'!AK27</f>
        <v>2.1113658703558812E-2</v>
      </c>
      <c r="F27" s="55">
        <f>'Basic T2'!AV27</f>
        <v>2.058998577755608E-2</v>
      </c>
      <c r="G27" s="55">
        <f>'Basic T2'!BG27</f>
        <v>7.0604552428313538E-2</v>
      </c>
      <c r="H27" s="55">
        <f>'Basic T2'!BR27</f>
        <v>0.11217573056761668</v>
      </c>
      <c r="I27" s="55">
        <f>'Basic T2'!CC27</f>
        <v>9.4047922368465722E-2</v>
      </c>
      <c r="J27" s="55">
        <f>'Basic T2'!CN27</f>
        <v>4.2042430076300347E-2</v>
      </c>
      <c r="K27" s="280">
        <f t="shared" si="12"/>
        <v>0.44693455623107459</v>
      </c>
      <c r="L27" s="79"/>
      <c r="M27" s="79">
        <f t="shared" si="0"/>
        <v>1.8361810982148806E-2</v>
      </c>
      <c r="N27" s="79">
        <f t="shared" si="1"/>
        <v>3.3689808073228446E-2</v>
      </c>
      <c r="O27" s="79">
        <f t="shared" si="2"/>
        <v>7.5704223972101845E-2</v>
      </c>
      <c r="P27" s="79">
        <f t="shared" si="3"/>
        <v>7.5871682752449293E-2</v>
      </c>
      <c r="Q27" s="79">
        <f t="shared" si="4"/>
        <v>7.6371487029182714E-2</v>
      </c>
      <c r="R27" s="79">
        <f t="shared" si="5"/>
        <v>6.759398388600743E-2</v>
      </c>
      <c r="S27" s="79">
        <f t="shared" si="6"/>
        <v>0.11319711471602198</v>
      </c>
      <c r="T27" s="79">
        <f t="shared" si="7"/>
        <v>0.15668087888403298</v>
      </c>
      <c r="U27" s="79">
        <f t="shared" si="8"/>
        <v>0.13225056477287561</v>
      </c>
      <c r="V27" s="79">
        <f t="shared" si="9"/>
        <v>9.0072543446932982E-2</v>
      </c>
      <c r="W27" s="79"/>
      <c r="X27" s="79">
        <f t="shared" si="10"/>
        <v>0.29134923483246733</v>
      </c>
      <c r="Y27" s="79">
        <f t="shared" si="13"/>
        <v>3.611752947980476</v>
      </c>
      <c r="Z27" s="79">
        <f t="shared" si="13"/>
        <v>15.419699132333806</v>
      </c>
      <c r="AA27" s="79">
        <f t="shared" si="13"/>
        <v>4.7241052205957885</v>
      </c>
      <c r="AB27" s="79">
        <f t="shared" si="13"/>
        <v>4.6069352862727904</v>
      </c>
      <c r="AC27" s="79">
        <f t="shared" si="13"/>
        <v>15.797514746613036</v>
      </c>
      <c r="AD27" s="79">
        <f t="shared" si="13"/>
        <v>25.098916385785003</v>
      </c>
      <c r="AE27" s="79">
        <f t="shared" si="13"/>
        <v>21.042884479901563</v>
      </c>
      <c r="AF27" s="79">
        <f t="shared" si="13"/>
        <v>9.4068425656850589</v>
      </c>
      <c r="AG27" s="79">
        <f t="shared" si="13"/>
        <v>100</v>
      </c>
    </row>
    <row r="28" spans="1:33">
      <c r="A28" s="10" t="str">
        <f>name!D24</f>
        <v>71 Sales occupations</v>
      </c>
      <c r="B28" s="55">
        <f>'Basic T2'!D28</f>
        <v>5.1521421466505117E-2</v>
      </c>
      <c r="C28" s="55">
        <f>'Basic T2'!O28</f>
        <v>0.98347173045997194</v>
      </c>
      <c r="D28" s="55">
        <f>'Basic T2'!Z28</f>
        <v>3.9468215236163324</v>
      </c>
      <c r="E28" s="55">
        <f>'Basic T2'!AK28</f>
        <v>1.3101473766722389</v>
      </c>
      <c r="F28" s="55">
        <f>'Basic T2'!AV28</f>
        <v>1.0877926018386168</v>
      </c>
      <c r="G28" s="55">
        <f>'Basic T2'!BG28</f>
        <v>7.7582300601532053</v>
      </c>
      <c r="H28" s="55">
        <f>'Basic T2'!BR28</f>
        <v>7.4616688498586594</v>
      </c>
      <c r="I28" s="55">
        <f>'Basic T2'!CC28</f>
        <v>4.7489068330129562</v>
      </c>
      <c r="J28" s="55">
        <f>'Basic T2'!CN28</f>
        <v>2.9023787376878705</v>
      </c>
      <c r="K28" s="280">
        <f t="shared" si="12"/>
        <v>30.250939134766355</v>
      </c>
      <c r="L28" s="79"/>
      <c r="M28" s="79">
        <f t="shared" si="0"/>
        <v>0.72651658407453268</v>
      </c>
      <c r="N28" s="79">
        <f t="shared" si="1"/>
        <v>2.0525722203719843</v>
      </c>
      <c r="O28" s="79">
        <f t="shared" si="2"/>
        <v>4.3355855993231547</v>
      </c>
      <c r="P28" s="79">
        <f t="shared" si="3"/>
        <v>4.7079990975261392</v>
      </c>
      <c r="Q28" s="79">
        <f t="shared" si="4"/>
        <v>4.0347933932191165</v>
      </c>
      <c r="R28" s="79">
        <f t="shared" si="5"/>
        <v>7.4274201823229413</v>
      </c>
      <c r="S28" s="79">
        <f t="shared" si="6"/>
        <v>7.529608949248531</v>
      </c>
      <c r="T28" s="79">
        <f t="shared" si="7"/>
        <v>7.9115293309695067</v>
      </c>
      <c r="U28" s="79">
        <f t="shared" si="8"/>
        <v>9.1298534967506804</v>
      </c>
      <c r="V28" s="79">
        <f t="shared" si="9"/>
        <v>6.0965951089223891</v>
      </c>
      <c r="W28" s="79"/>
      <c r="X28" s="79">
        <f t="shared" si="10"/>
        <v>0.17031346113580104</v>
      </c>
      <c r="Y28" s="79">
        <f t="shared" si="13"/>
        <v>3.25104528516836</v>
      </c>
      <c r="Z28" s="79">
        <f t="shared" si="13"/>
        <v>13.046938827364826</v>
      </c>
      <c r="AA28" s="79">
        <f t="shared" si="13"/>
        <v>4.3309312508798516</v>
      </c>
      <c r="AB28" s="79">
        <f t="shared" si="13"/>
        <v>3.5958969637027058</v>
      </c>
      <c r="AC28" s="79">
        <f t="shared" si="13"/>
        <v>25.646245313544462</v>
      </c>
      <c r="AD28" s="79">
        <f t="shared" si="13"/>
        <v>24.665908111537675</v>
      </c>
      <c r="AE28" s="79">
        <f t="shared" si="13"/>
        <v>15.698378195324198</v>
      </c>
      <c r="AF28" s="79">
        <f t="shared" si="13"/>
        <v>9.594342591342123</v>
      </c>
      <c r="AG28" s="79">
        <f t="shared" si="13"/>
        <v>100</v>
      </c>
    </row>
    <row r="29" spans="1:33">
      <c r="A29" s="10" t="str">
        <f>name!D25</f>
        <v>72 Customer service occupations</v>
      </c>
      <c r="B29" s="55">
        <f>'Basic T2'!D29</f>
        <v>3.416016685741597E-2</v>
      </c>
      <c r="C29" s="55">
        <f>'Basic T2'!O29</f>
        <v>0.35601588390914296</v>
      </c>
      <c r="D29" s="55">
        <f>'Basic T2'!Z29</f>
        <v>1.4180283873247137</v>
      </c>
      <c r="E29" s="55">
        <f>'Basic T2'!AK29</f>
        <v>0.47144578174191826</v>
      </c>
      <c r="F29" s="55">
        <f>'Basic T2'!AV29</f>
        <v>0.69786080065493294</v>
      </c>
      <c r="G29" s="55">
        <f>'Basic T2'!BG29</f>
        <v>2.2125078173552954</v>
      </c>
      <c r="H29" s="55">
        <f>'Basic T2'!BR29</f>
        <v>2.2078424961543099</v>
      </c>
      <c r="I29" s="55">
        <f>'Basic T2'!CC29</f>
        <v>1.0856040301194343</v>
      </c>
      <c r="J29" s="55">
        <f>'Basic T2'!CN29</f>
        <v>0.60538144190958221</v>
      </c>
      <c r="K29" s="280">
        <f t="shared" si="12"/>
        <v>9.088846806026746</v>
      </c>
      <c r="L29" s="79"/>
      <c r="M29" s="79">
        <f t="shared" si="0"/>
        <v>0.48170114547015042</v>
      </c>
      <c r="N29" s="79">
        <f t="shared" si="1"/>
        <v>0.74302930190104344</v>
      </c>
      <c r="O29" s="79">
        <f t="shared" si="2"/>
        <v>1.5577049579590028</v>
      </c>
      <c r="P29" s="79">
        <f t="shared" si="3"/>
        <v>1.694134838945472</v>
      </c>
      <c r="Q29" s="79">
        <f t="shared" si="4"/>
        <v>2.5884751772625703</v>
      </c>
      <c r="R29" s="79">
        <f t="shared" si="5"/>
        <v>2.1181667840161329</v>
      </c>
      <c r="S29" s="79">
        <f t="shared" si="6"/>
        <v>2.2279453768428232</v>
      </c>
      <c r="T29" s="79">
        <f t="shared" si="7"/>
        <v>1.8085821491384004</v>
      </c>
      <c r="U29" s="79">
        <f t="shared" si="8"/>
        <v>1.9043151751756531</v>
      </c>
      <c r="V29" s="79">
        <f t="shared" si="9"/>
        <v>1.8317123556566075</v>
      </c>
      <c r="W29" s="79"/>
      <c r="X29" s="79">
        <f>IF($K29&gt;0,B29/$K29*100,0)</f>
        <v>0.37584709684802498</v>
      </c>
      <c r="Y29" s="79">
        <f t="shared" si="13"/>
        <v>3.9170633140507052</v>
      </c>
      <c r="Z29" s="79">
        <f t="shared" si="13"/>
        <v>15.601851561459149</v>
      </c>
      <c r="AA29" s="79">
        <f t="shared" si="13"/>
        <v>5.1870802952615076</v>
      </c>
      <c r="AB29" s="79">
        <f t="shared" si="13"/>
        <v>7.6782106195495192</v>
      </c>
      <c r="AC29" s="79">
        <f t="shared" si="13"/>
        <v>24.343108257564623</v>
      </c>
      <c r="AD29" s="79">
        <f t="shared" si="13"/>
        <v>24.29177808003438</v>
      </c>
      <c r="AE29" s="79">
        <f t="shared" si="13"/>
        <v>11.944353923971724</v>
      </c>
      <c r="AF29" s="79">
        <f t="shared" si="13"/>
        <v>6.6607068512603629</v>
      </c>
      <c r="AG29" s="79">
        <f t="shared" si="13"/>
        <v>100</v>
      </c>
    </row>
    <row r="30" spans="1:33">
      <c r="A30" s="10" t="str">
        <f>name!D26</f>
        <v>81 Process, plant and machine operatives</v>
      </c>
      <c r="B30" s="55">
        <f>'Basic T2'!D30</f>
        <v>3.1135425553467398E-2</v>
      </c>
      <c r="C30" s="55">
        <f>'Basic T2'!O30</f>
        <v>0.21349522513418287</v>
      </c>
      <c r="D30" s="55">
        <f>'Basic T2'!Z30</f>
        <v>0.59962612406069482</v>
      </c>
      <c r="E30" s="55">
        <f>'Basic T2'!AK30</f>
        <v>0.27664983738928806</v>
      </c>
      <c r="F30" s="55">
        <f>'Basic T2'!AV30</f>
        <v>0.62767027926463737</v>
      </c>
      <c r="G30" s="55">
        <f>'Basic T2'!BG30</f>
        <v>4.3286852143399912</v>
      </c>
      <c r="H30" s="55">
        <f>'Basic T2'!BR30</f>
        <v>5.4435191254591624</v>
      </c>
      <c r="I30" s="55">
        <f>'Basic T2'!CC30</f>
        <v>4.356130214201861</v>
      </c>
      <c r="J30" s="55">
        <f>'Basic T2'!CN30</f>
        <v>2.5060065470592061</v>
      </c>
      <c r="K30" s="280">
        <f t="shared" si="12"/>
        <v>18.382917992462495</v>
      </c>
      <c r="L30" s="79"/>
      <c r="M30" s="79">
        <f t="shared" si="0"/>
        <v>0.43904850396097722</v>
      </c>
      <c r="N30" s="79">
        <f t="shared" si="1"/>
        <v>0.44557901841015052</v>
      </c>
      <c r="O30" s="79">
        <f t="shared" si="2"/>
        <v>0.65868962477772941</v>
      </c>
      <c r="P30" s="79">
        <f t="shared" si="3"/>
        <v>0.99413791757365089</v>
      </c>
      <c r="Q30" s="79">
        <f t="shared" si="4"/>
        <v>2.3281275232212666</v>
      </c>
      <c r="R30" s="79">
        <f t="shared" si="5"/>
        <v>4.1441106637248728</v>
      </c>
      <c r="S30" s="79">
        <f t="shared" si="6"/>
        <v>5.4930835376377285</v>
      </c>
      <c r="T30" s="79">
        <f t="shared" si="7"/>
        <v>7.2571758451017976</v>
      </c>
      <c r="U30" s="79">
        <f t="shared" si="8"/>
        <v>7.88300725176037</v>
      </c>
      <c r="V30" s="79">
        <f t="shared" si="9"/>
        <v>3.7047844174783449</v>
      </c>
      <c r="W30" s="79"/>
      <c r="X30" s="79">
        <f t="shared" si="10"/>
        <v>0.16937150873563045</v>
      </c>
      <c r="Y30" s="79">
        <f t="shared" si="13"/>
        <v>1.1613783253655476</v>
      </c>
      <c r="Z30" s="79">
        <f t="shared" si="13"/>
        <v>3.261865849080968</v>
      </c>
      <c r="AA30" s="79">
        <f t="shared" si="13"/>
        <v>1.5049288557057272</v>
      </c>
      <c r="AB30" s="79">
        <f t="shared" si="13"/>
        <v>3.4144213640184851</v>
      </c>
      <c r="AC30" s="79">
        <f t="shared" si="13"/>
        <v>23.547323749770694</v>
      </c>
      <c r="AD30" s="79">
        <f t="shared" si="13"/>
        <v>29.611833810558018</v>
      </c>
      <c r="AE30" s="79">
        <f t="shared" si="13"/>
        <v>23.696619959834422</v>
      </c>
      <c r="AF30" s="79">
        <f t="shared" si="13"/>
        <v>13.632256576930486</v>
      </c>
      <c r="AG30" s="79">
        <f t="shared" si="13"/>
        <v>100</v>
      </c>
    </row>
    <row r="31" spans="1:33">
      <c r="A31" s="10" t="str">
        <f>name!D27</f>
        <v>82 Transport and mobile machine drivers and operatives</v>
      </c>
      <c r="B31" s="55">
        <f>'Basic T2'!D31</f>
        <v>4.4896392351767039E-2</v>
      </c>
      <c r="C31" s="55">
        <f>'Basic T2'!O31</f>
        <v>0.2518217531900796</v>
      </c>
      <c r="D31" s="55">
        <f>'Basic T2'!Z31</f>
        <v>0.91450947971928243</v>
      </c>
      <c r="E31" s="55">
        <f>'Basic T2'!AK31</f>
        <v>0.46228951818627984</v>
      </c>
      <c r="F31" s="55">
        <f>'Basic T2'!AV31</f>
        <v>0.71683022955518472</v>
      </c>
      <c r="G31" s="55">
        <f>'Basic T2'!BG31</f>
        <v>4.060518801781039</v>
      </c>
      <c r="H31" s="55">
        <f>'Basic T2'!BR31</f>
        <v>6.5424843653972822</v>
      </c>
      <c r="I31" s="55">
        <f>'Basic T2'!CC31</f>
        <v>5.3205790763657879</v>
      </c>
      <c r="J31" s="55">
        <f>'Basic T2'!CN31</f>
        <v>3.6615266969888709</v>
      </c>
      <c r="K31" s="280">
        <f t="shared" si="12"/>
        <v>21.975456313535574</v>
      </c>
      <c r="L31" s="79"/>
      <c r="M31" s="79">
        <f t="shared" si="0"/>
        <v>0.63309537431689888</v>
      </c>
      <c r="N31" s="79">
        <f t="shared" si="1"/>
        <v>0.52556908254147827</v>
      </c>
      <c r="O31" s="79">
        <f t="shared" si="2"/>
        <v>1.0045891629481396</v>
      </c>
      <c r="P31" s="79">
        <f t="shared" si="3"/>
        <v>1.6612319141873808</v>
      </c>
      <c r="Q31" s="79">
        <f t="shared" si="4"/>
        <v>2.6588357646305205</v>
      </c>
      <c r="R31" s="79">
        <f t="shared" si="5"/>
        <v>3.8873788306368797</v>
      </c>
      <c r="S31" s="79">
        <f t="shared" si="6"/>
        <v>6.6020550924002883</v>
      </c>
      <c r="T31" s="79">
        <f t="shared" si="7"/>
        <v>8.8639172973001834</v>
      </c>
      <c r="U31" s="79">
        <f t="shared" si="8"/>
        <v>11.517863566138374</v>
      </c>
      <c r="V31" s="79">
        <f t="shared" si="9"/>
        <v>4.4288033135297038</v>
      </c>
      <c r="W31" s="79"/>
      <c r="X31" s="79">
        <f t="shared" si="10"/>
        <v>0.20430243500387993</v>
      </c>
      <c r="Y31" s="79">
        <f t="shared" si="13"/>
        <v>1.1459227494401214</v>
      </c>
      <c r="Z31" s="79">
        <f t="shared" si="13"/>
        <v>4.1615039372629505</v>
      </c>
      <c r="AA31" s="79">
        <f t="shared" si="13"/>
        <v>2.1036628845860963</v>
      </c>
      <c r="AB31" s="79">
        <f t="shared" si="13"/>
        <v>3.2619583381013117</v>
      </c>
      <c r="AC31" s="79">
        <f t="shared" si="13"/>
        <v>18.477517571637414</v>
      </c>
      <c r="AD31" s="79">
        <f t="shared" si="13"/>
        <v>29.771779352620321</v>
      </c>
      <c r="AE31" s="79">
        <f t="shared" si="13"/>
        <v>24.211461188583499</v>
      </c>
      <c r="AF31" s="79">
        <f t="shared" si="13"/>
        <v>16.661891542764408</v>
      </c>
      <c r="AG31" s="79">
        <f t="shared" si="13"/>
        <v>100</v>
      </c>
    </row>
    <row r="32" spans="1:33">
      <c r="A32" s="10" t="str">
        <f>name!D28</f>
        <v>91 Elementary trades and related occupations</v>
      </c>
      <c r="B32" s="55">
        <f>'Basic T2'!D32</f>
        <v>2.8813887556975441E-4</v>
      </c>
      <c r="C32" s="55">
        <f>'Basic T2'!O32</f>
        <v>8.233820284885178E-2</v>
      </c>
      <c r="D32" s="55">
        <f>'Basic T2'!Z32</f>
        <v>0.29048266008321377</v>
      </c>
      <c r="E32" s="55">
        <f>'Basic T2'!AK32</f>
        <v>0.20495657990485608</v>
      </c>
      <c r="F32" s="55">
        <f>'Basic T2'!AV32</f>
        <v>0.23917310083157725</v>
      </c>
      <c r="G32" s="55">
        <f>'Basic T2'!BG32</f>
        <v>1.1374593936486852</v>
      </c>
      <c r="H32" s="55">
        <f>'Basic T2'!BR32</f>
        <v>2.0590194278196883</v>
      </c>
      <c r="I32" s="55">
        <f>'Basic T2'!CC32</f>
        <v>2.6670253289912735</v>
      </c>
      <c r="J32" s="55">
        <f>'Basic T2'!CN32</f>
        <v>1.9171516914918572</v>
      </c>
      <c r="K32" s="280">
        <f t="shared" si="12"/>
        <v>8.5978945244955725</v>
      </c>
      <c r="L32" s="79"/>
      <c r="M32" s="79">
        <f t="shared" si="0"/>
        <v>4.0631190999671565E-3</v>
      </c>
      <c r="N32" s="79">
        <f t="shared" si="1"/>
        <v>0.17184541518429053</v>
      </c>
      <c r="O32" s="79">
        <f t="shared" si="2"/>
        <v>0.31909536075396433</v>
      </c>
      <c r="P32" s="79">
        <f t="shared" si="3"/>
        <v>0.73650904501677705</v>
      </c>
      <c r="Q32" s="79">
        <f t="shared" si="4"/>
        <v>0.88713054808415159</v>
      </c>
      <c r="R32" s="79">
        <f t="shared" si="5"/>
        <v>1.0889582793310755</v>
      </c>
      <c r="S32" s="79">
        <f t="shared" si="6"/>
        <v>2.0777672424690072</v>
      </c>
      <c r="T32" s="79">
        <f t="shared" si="7"/>
        <v>4.4431802641548037</v>
      </c>
      <c r="U32" s="79">
        <f t="shared" si="8"/>
        <v>6.0306788521721746</v>
      </c>
      <c r="V32" s="79">
        <f t="shared" si="9"/>
        <v>1.7327687405521979</v>
      </c>
      <c r="W32" s="79"/>
      <c r="X32" s="79">
        <f t="shared" si="10"/>
        <v>3.3512725092037479E-3</v>
      </c>
      <c r="Y32" s="79">
        <f t="shared" si="13"/>
        <v>0.95765541917580632</v>
      </c>
      <c r="Z32" s="79">
        <f t="shared" si="13"/>
        <v>3.3785324913631225</v>
      </c>
      <c r="AA32" s="79">
        <f t="shared" si="13"/>
        <v>2.3837996537516331</v>
      </c>
      <c r="AB32" s="79">
        <f t="shared" si="13"/>
        <v>2.781763606778012</v>
      </c>
      <c r="AC32" s="79">
        <f t="shared" si="13"/>
        <v>13.229510904187542</v>
      </c>
      <c r="AD32" s="79">
        <f t="shared" si="13"/>
        <v>23.94794937241322</v>
      </c>
      <c r="AE32" s="79">
        <f t="shared" si="13"/>
        <v>31.019516712991361</v>
      </c>
      <c r="AF32" s="79">
        <f t="shared" si="13"/>
        <v>22.297920566830097</v>
      </c>
      <c r="AG32" s="79">
        <f t="shared" si="13"/>
        <v>100</v>
      </c>
    </row>
    <row r="33" spans="1:33">
      <c r="A33" s="10" t="str">
        <f>name!D29</f>
        <v>92 Elementary administration and service occupations</v>
      </c>
      <c r="B33" s="55">
        <f>'Basic T2'!D33</f>
        <v>3.0219019625804429E-2</v>
      </c>
      <c r="C33" s="55">
        <f>'Basic T2'!O33</f>
        <v>0.73708123360489275</v>
      </c>
      <c r="D33" s="55">
        <f>'Basic T2'!Z33</f>
        <v>2.6413229067033677</v>
      </c>
      <c r="E33" s="55">
        <f>'Basic T2'!AK33</f>
        <v>1.2543753307393342</v>
      </c>
      <c r="F33" s="55">
        <f>'Basic T2'!AV33</f>
        <v>1.1941374659678323</v>
      </c>
      <c r="G33" s="55">
        <f>'Basic T2'!BG33</f>
        <v>6.1912334318314324</v>
      </c>
      <c r="H33" s="55">
        <f>'Basic T2'!BR33</f>
        <v>10.801026085895028</v>
      </c>
      <c r="I33" s="55">
        <f>'Basic T2'!CC33</f>
        <v>9.2319589785710523</v>
      </c>
      <c r="J33" s="55">
        <f>'Basic T2'!CN33</f>
        <v>5.6075842246575638</v>
      </c>
      <c r="K33" s="280">
        <f t="shared" ref="K33" si="14">SUM(B33:J33)</f>
        <v>37.688938677596312</v>
      </c>
      <c r="L33" s="79"/>
      <c r="M33" s="79">
        <f t="shared" si="0"/>
        <v>0.42612603239011437</v>
      </c>
      <c r="N33" s="79">
        <f t="shared" si="1"/>
        <v>1.5383385382590746</v>
      </c>
      <c r="O33" s="79">
        <f t="shared" si="2"/>
        <v>2.9014946556217036</v>
      </c>
      <c r="P33" s="79">
        <f t="shared" si="3"/>
        <v>4.5075829103134915</v>
      </c>
      <c r="Q33" s="79">
        <f t="shared" si="4"/>
        <v>4.4292431757108357</v>
      </c>
      <c r="R33" s="79">
        <f t="shared" si="5"/>
        <v>5.9272400777644929</v>
      </c>
      <c r="S33" s="79">
        <f t="shared" si="6"/>
        <v>10.89937175099409</v>
      </c>
      <c r="T33" s="79">
        <f t="shared" si="7"/>
        <v>15.380153119351142</v>
      </c>
      <c r="U33" s="79">
        <f t="shared" si="8"/>
        <v>17.639469920661888</v>
      </c>
      <c r="V33" s="79">
        <f t="shared" si="9"/>
        <v>7.5956054844670255</v>
      </c>
      <c r="W33" s="79"/>
      <c r="X33" s="79">
        <f t="shared" ref="X33" si="15">IF($K33&gt;0,B33/$K33*100,0)</f>
        <v>8.0180075868699699E-2</v>
      </c>
      <c r="Y33" s="79">
        <f t="shared" ref="Y33" si="16">IF($K33&gt;0,C33/$K33*100,0)</f>
        <v>1.9556964442807216</v>
      </c>
      <c r="Z33" s="79">
        <f t="shared" ref="Z33" si="17">IF($K33&gt;0,D33/$K33*100,0)</f>
        <v>7.0082177938151036</v>
      </c>
      <c r="AA33" s="79">
        <f t="shared" ref="AA33" si="18">IF($K33&gt;0,E33/$K33*100,0)</f>
        <v>3.3282320350532477</v>
      </c>
      <c r="AB33" s="79">
        <f t="shared" ref="AB33" si="19">IF($K33&gt;0,F33/$K33*100,0)</f>
        <v>3.1684030059399668</v>
      </c>
      <c r="AC33" s="79">
        <f t="shared" ref="AC33" si="20">IF($K33&gt;0,G33/$K33*100,0)</f>
        <v>16.427189645198816</v>
      </c>
      <c r="AD33" s="79">
        <f t="shared" ref="AD33" si="21">IF($K33&gt;0,H33/$K33*100,0)</f>
        <v>28.658345034044576</v>
      </c>
      <c r="AE33" s="79">
        <f t="shared" ref="AE33" si="22">IF($K33&gt;0,I33/$K33*100,0)</f>
        <v>24.495141817455497</v>
      </c>
      <c r="AF33" s="79">
        <f>IF($K33&gt;0,J33/$K33*100,0)</f>
        <v>14.878594148343364</v>
      </c>
      <c r="AG33" s="79">
        <f t="shared" ref="AG33" si="23">IF($K33&gt;0,K33/$K33*100,0)</f>
        <v>100</v>
      </c>
    </row>
    <row r="34" spans="1:33">
      <c r="B34" s="280"/>
      <c r="C34" s="280"/>
      <c r="D34" s="280"/>
      <c r="E34" s="55"/>
      <c r="F34" s="55"/>
      <c r="G34" s="55"/>
      <c r="H34" s="55"/>
      <c r="I34" s="55"/>
      <c r="J34" s="55"/>
      <c r="K34" s="280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  <c r="Y34" s="79"/>
      <c r="Z34" s="79"/>
      <c r="AA34" s="79"/>
      <c r="AB34" s="79"/>
      <c r="AC34" s="79"/>
      <c r="AD34" s="79"/>
      <c r="AE34" s="79"/>
      <c r="AF34" s="79"/>
      <c r="AG34" s="79"/>
    </row>
    <row r="35" spans="1:33">
      <c r="A35" s="90" t="str">
        <f>name!D3</f>
        <v>All occupations</v>
      </c>
      <c r="B35" s="281">
        <f>SUM(B8:B33)</f>
        <v>7.0915685334472123</v>
      </c>
      <c r="C35" s="281">
        <f t="shared" ref="C35:K35" si="24">SUM(C8:C33)</f>
        <v>47.914110923791952</v>
      </c>
      <c r="D35" s="281">
        <f t="shared" si="24"/>
        <v>91.033181866654544</v>
      </c>
      <c r="E35" s="281">
        <f t="shared" si="24"/>
        <v>27.828114439543285</v>
      </c>
      <c r="F35" s="281">
        <f t="shared" si="24"/>
        <v>26.960304923339166</v>
      </c>
      <c r="G35" s="281">
        <f t="shared" si="24"/>
        <v>104.45390013907631</v>
      </c>
      <c r="H35" s="281">
        <f t="shared" si="24"/>
        <v>99.097694185079135</v>
      </c>
      <c r="I35" s="281">
        <f t="shared" si="24"/>
        <v>60.025143488041756</v>
      </c>
      <c r="J35" s="281">
        <f t="shared" si="24"/>
        <v>31.789981501026592</v>
      </c>
      <c r="K35" s="281">
        <f t="shared" si="24"/>
        <v>496.19399999999996</v>
      </c>
      <c r="L35" s="80"/>
      <c r="M35" s="80">
        <f>B35/B$35*100</f>
        <v>100</v>
      </c>
      <c r="N35" s="80">
        <f>C35/C$35*100</f>
        <v>100</v>
      </c>
      <c r="O35" s="80">
        <f>D35/D$35*100</f>
        <v>100</v>
      </c>
      <c r="P35" s="80">
        <f t="shared" ref="P35:U35" si="25">E35/E$35*100</f>
        <v>100</v>
      </c>
      <c r="Q35" s="80">
        <f t="shared" si="25"/>
        <v>100</v>
      </c>
      <c r="R35" s="80">
        <f t="shared" si="25"/>
        <v>100</v>
      </c>
      <c r="S35" s="80">
        <f t="shared" si="25"/>
        <v>100</v>
      </c>
      <c r="T35" s="80">
        <f t="shared" si="25"/>
        <v>100</v>
      </c>
      <c r="U35" s="80">
        <f t="shared" si="25"/>
        <v>100</v>
      </c>
      <c r="V35" s="80">
        <f>K35/K$35*100</f>
        <v>100</v>
      </c>
      <c r="W35" s="80"/>
      <c r="X35" s="80">
        <f>IF($K35&gt;0,B35/$K35*100,0)</f>
        <v>1.4291927216869234</v>
      </c>
      <c r="Y35" s="80">
        <f t="shared" ref="Y35:AG35" si="26">IF($K35&gt;0,C35/$K35*100,0)</f>
        <v>9.6563261393309787</v>
      </c>
      <c r="Z35" s="80">
        <f t="shared" si="26"/>
        <v>18.346288320022925</v>
      </c>
      <c r="AA35" s="80">
        <f t="shared" si="26"/>
        <v>5.6083133692755833</v>
      </c>
      <c r="AB35" s="80">
        <f t="shared" si="26"/>
        <v>5.4334201790709216</v>
      </c>
      <c r="AC35" s="80">
        <f t="shared" si="26"/>
        <v>21.051020395062476</v>
      </c>
      <c r="AD35" s="80">
        <f t="shared" si="26"/>
        <v>19.971562369774553</v>
      </c>
      <c r="AE35" s="80">
        <f t="shared" si="26"/>
        <v>12.097111913493867</v>
      </c>
      <c r="AF35" s="80">
        <f t="shared" si="26"/>
        <v>6.4067645922817675</v>
      </c>
      <c r="AG35" s="80">
        <f t="shared" si="26"/>
        <v>100</v>
      </c>
    </row>
    <row r="37" spans="1:33">
      <c r="A37" s="73" t="e">
        <f ca="1">CELL("filename")</f>
        <v>#VALUE!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/>
  <cols>
    <col min="1" max="1" width="33.7109375" style="73" customWidth="1"/>
    <col min="2" max="2" width="5.7109375" style="73" customWidth="1"/>
    <col min="3" max="3" width="11.7109375" style="73" customWidth="1"/>
    <col min="4" max="4" width="7.85546875" style="73" customWidth="1"/>
    <col min="5" max="5" width="9.85546875" style="73" customWidth="1"/>
    <col min="6" max="6" width="10" style="73" customWidth="1"/>
    <col min="7" max="7" width="2.7109375" style="73" customWidth="1"/>
    <col min="8" max="8" width="5.7109375" style="73" customWidth="1"/>
    <col min="9" max="9" width="10.7109375" style="73" customWidth="1"/>
    <col min="10" max="12" width="8.7109375" style="73" customWidth="1"/>
    <col min="13" max="13" width="2.7109375" style="73" customWidth="1"/>
    <col min="14" max="14" width="5.7109375" style="73" customWidth="1"/>
    <col min="15" max="15" width="10.7109375" style="73" customWidth="1"/>
    <col min="16" max="18" width="8.7109375" style="73" customWidth="1"/>
    <col min="19" max="19" width="2.7109375" style="73" customWidth="1"/>
    <col min="20" max="20" width="5.7109375" style="73" customWidth="1"/>
    <col min="21" max="21" width="10.7109375" style="73" customWidth="1"/>
    <col min="22" max="24" width="8.7109375" style="73" customWidth="1"/>
    <col min="25" max="25" width="33.7109375" style="73" customWidth="1"/>
    <col min="26" max="26" width="5.7109375" style="73" customWidth="1"/>
    <col min="27" max="27" width="11.7109375" style="73" customWidth="1"/>
    <col min="28" max="28" width="7.42578125" style="73" customWidth="1"/>
    <col min="29" max="30" width="8.7109375" style="73" customWidth="1"/>
    <col min="31" max="31" width="2.7109375" style="73" customWidth="1"/>
    <col min="32" max="32" width="5.7109375" style="73" customWidth="1"/>
    <col min="33" max="33" width="10.7109375" style="73" customWidth="1"/>
    <col min="34" max="36" width="8.7109375" style="73" customWidth="1"/>
    <col min="37" max="37" width="2.7109375" style="73" customWidth="1"/>
    <col min="38" max="38" width="5.7109375" style="73" customWidth="1"/>
    <col min="39" max="39" width="10.7109375" style="73" customWidth="1"/>
    <col min="40" max="42" width="8.7109375" style="73" customWidth="1"/>
    <col min="43" max="43" width="2.7109375" style="73" customWidth="1"/>
    <col min="44" max="44" width="5.7109375" style="73" customWidth="1"/>
    <col min="45" max="45" width="10.7109375" style="73" customWidth="1"/>
    <col min="46" max="48" width="8.7109375" style="73" customWidth="1"/>
    <col min="49" max="49" width="33.7109375" style="73" customWidth="1"/>
    <col min="50" max="50" width="5.7109375" style="73" customWidth="1"/>
    <col min="51" max="51" width="11.7109375" style="73" customWidth="1"/>
    <col min="52" max="52" width="7.42578125" style="73" customWidth="1"/>
    <col min="53" max="54" width="8.7109375" style="73" customWidth="1"/>
    <col min="55" max="55" width="2.7109375" style="73" customWidth="1"/>
    <col min="56" max="56" width="5.7109375" style="73" customWidth="1"/>
    <col min="57" max="57" width="10.7109375" style="73" customWidth="1"/>
    <col min="58" max="60" width="8.7109375" style="73" customWidth="1"/>
    <col min="61" max="61" width="2.7109375" style="73" customWidth="1"/>
    <col min="62" max="62" width="5.7109375" style="73" customWidth="1"/>
    <col min="63" max="63" width="10.7109375" style="73" customWidth="1"/>
    <col min="64" max="66" width="8.7109375" style="73" customWidth="1"/>
    <col min="67" max="67" width="2.7109375" style="73" customWidth="1"/>
    <col min="68" max="68" width="5.7109375" style="73" customWidth="1"/>
    <col min="69" max="69" width="10.7109375" style="73" customWidth="1"/>
    <col min="70" max="72" width="8.7109375" style="73" customWidth="1"/>
    <col min="73" max="73" width="33.7109375" style="73" customWidth="1"/>
    <col min="74" max="74" width="5.7109375" style="73" customWidth="1"/>
    <col min="75" max="75" width="11.7109375" style="73" customWidth="1"/>
    <col min="76" max="76" width="7.42578125" style="73" customWidth="1"/>
    <col min="77" max="78" width="8.7109375" style="73" customWidth="1"/>
    <col min="79" max="79" width="2.7109375" style="73" customWidth="1"/>
    <col min="80" max="80" width="5.7109375" style="73" customWidth="1"/>
    <col min="81" max="81" width="10.7109375" style="73" customWidth="1"/>
    <col min="82" max="84" width="8.7109375" style="73" customWidth="1"/>
    <col min="85" max="85" width="2.7109375" style="73" customWidth="1"/>
    <col min="86" max="86" width="5.7109375" style="73" customWidth="1"/>
    <col min="87" max="87" width="10.7109375" style="73" customWidth="1"/>
    <col min="88" max="90" width="8.7109375" style="73" customWidth="1"/>
    <col min="91" max="91" width="2.7109375" style="73" customWidth="1"/>
    <col min="92" max="92" width="5.7109375" style="73" customWidth="1"/>
    <col min="93" max="93" width="10.7109375" style="73" customWidth="1"/>
    <col min="94" max="96" width="8.7109375" style="73" customWidth="1"/>
    <col min="97" max="97" width="33.7109375" style="73" customWidth="1"/>
    <col min="98" max="98" width="5.7109375" style="73" customWidth="1"/>
    <col min="99" max="99" width="11.7109375" style="73" customWidth="1"/>
    <col min="100" max="100" width="7.42578125" style="73" customWidth="1"/>
    <col min="101" max="102" width="8.7109375" style="73" customWidth="1"/>
    <col min="103" max="103" width="2.7109375" style="73" customWidth="1"/>
    <col min="104" max="104" width="5.7109375" style="73" customWidth="1"/>
    <col min="105" max="105" width="10.7109375" style="73" customWidth="1"/>
    <col min="106" max="108" width="8.7109375" style="73" customWidth="1"/>
    <col min="109" max="109" width="2.7109375" style="73" customWidth="1"/>
    <col min="110" max="110" width="5.7109375" style="73" customWidth="1"/>
    <col min="111" max="111" width="10.7109375" style="73" customWidth="1"/>
    <col min="112" max="114" width="8.7109375" style="73" customWidth="1"/>
    <col min="115" max="115" width="2.7109375" style="73" customWidth="1"/>
    <col min="116" max="116" width="5.7109375" style="73" customWidth="1"/>
    <col min="117" max="117" width="10.7109375" style="73" customWidth="1"/>
    <col min="118" max="120" width="8.7109375" style="73" customWidth="1"/>
    <col min="121" max="16384" width="9.140625" style="73"/>
  </cols>
  <sheetData>
    <row r="1" spans="1:120" ht="15.75">
      <c r="A1" s="18" t="str">
        <f>CONCATENATE("Basic Table 5  Replacement Demand, ",A100,"-",A101,", by Industry and Qualification for ",name!$H$3)</f>
        <v>Basic Table 5  Replacement Demand, 2015-2025, by Industry and Qualification for M</v>
      </c>
      <c r="Y1" s="18" t="str">
        <f>CONCATENATE("Basic Table 5  Replacement Demand, ",A100,"-",A101,", by Industry and Qualification for ",name!$H$4)</f>
        <v>Basic Table 5  Replacement Demand, 2015-2025, by Industry and Qualification for F</v>
      </c>
      <c r="AW1" s="18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8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8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>
      <c r="A2" s="18"/>
      <c r="Y2" s="18"/>
      <c r="AW2" s="18"/>
      <c r="BU2" s="18"/>
      <c r="CS2" s="18"/>
    </row>
    <row r="3" spans="1:120"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98" t="s">
        <v>112</v>
      </c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98" t="str">
        <f>$X$3</f>
        <v>thousands</v>
      </c>
      <c r="AX3" s="74"/>
      <c r="AY3" s="74"/>
      <c r="AZ3" s="74"/>
      <c r="BA3" s="74"/>
      <c r="BB3" s="74"/>
      <c r="BC3" s="74"/>
      <c r="BD3" s="74"/>
      <c r="BE3" s="74"/>
      <c r="BF3" s="74"/>
      <c r="BG3" s="74"/>
      <c r="BH3" s="74"/>
      <c r="BI3" s="74"/>
      <c r="BJ3" s="74"/>
      <c r="BK3" s="74"/>
      <c r="BL3" s="74"/>
      <c r="BM3" s="74"/>
      <c r="BN3" s="74"/>
      <c r="BO3" s="74"/>
      <c r="BP3" s="74"/>
      <c r="BQ3" s="74"/>
      <c r="BR3" s="74"/>
      <c r="BS3" s="74"/>
      <c r="BT3" s="98" t="str">
        <f>$X$3</f>
        <v>thousands</v>
      </c>
      <c r="BV3" s="74"/>
      <c r="BW3" s="74"/>
      <c r="BX3" s="74"/>
      <c r="BY3" s="74"/>
      <c r="BZ3" s="74"/>
      <c r="CA3" s="74"/>
      <c r="CB3" s="74"/>
      <c r="CC3" s="74"/>
      <c r="CD3" s="74"/>
      <c r="CE3" s="74"/>
      <c r="CF3" s="74"/>
      <c r="CG3" s="74"/>
      <c r="CH3" s="74"/>
      <c r="CI3" s="74"/>
      <c r="CJ3" s="74"/>
      <c r="CK3" s="74"/>
      <c r="CL3" s="74"/>
      <c r="CM3" s="74"/>
      <c r="CN3" s="74"/>
      <c r="CO3" s="74"/>
      <c r="CP3" s="74"/>
      <c r="CQ3" s="74"/>
      <c r="CR3" s="98" t="str">
        <f>$X$3</f>
        <v>thousands</v>
      </c>
      <c r="CT3" s="74"/>
      <c r="CU3" s="74"/>
      <c r="CV3" s="74"/>
      <c r="CW3" s="74"/>
      <c r="CX3" s="74"/>
      <c r="CY3" s="74"/>
      <c r="CZ3" s="74"/>
      <c r="DA3" s="74"/>
      <c r="DB3" s="74"/>
      <c r="DC3" s="74"/>
      <c r="DD3" s="74"/>
      <c r="DE3" s="74"/>
      <c r="DF3" s="74"/>
      <c r="DG3" s="74"/>
      <c r="DH3" s="74"/>
      <c r="DI3" s="74"/>
      <c r="DJ3" s="74"/>
      <c r="DK3" s="74"/>
      <c r="DL3" s="74"/>
      <c r="DM3" s="74"/>
      <c r="DN3" s="74"/>
      <c r="DO3" s="74"/>
      <c r="DP3" s="98" t="str">
        <f>$X$3</f>
        <v>thousands</v>
      </c>
    </row>
    <row r="4" spans="1:120">
      <c r="A4" s="78"/>
      <c r="B4" s="354" t="str">
        <f>name!F3</f>
        <v>All qualifications</v>
      </c>
      <c r="C4" s="354"/>
      <c r="D4" s="354"/>
      <c r="E4" s="354"/>
      <c r="F4" s="354"/>
      <c r="G4" s="85"/>
      <c r="H4" s="354" t="str">
        <f>name!F4</f>
        <v>RQF8 Doctorate</v>
      </c>
      <c r="I4" s="354"/>
      <c r="J4" s="354"/>
      <c r="K4" s="354"/>
      <c r="L4" s="354"/>
      <c r="N4" s="355" t="str">
        <f>name!F5</f>
        <v>RQF7 Other higher degree</v>
      </c>
      <c r="O4" s="355"/>
      <c r="P4" s="355"/>
      <c r="Q4" s="355"/>
      <c r="R4" s="355"/>
      <c r="S4" s="93"/>
      <c r="T4" s="355" t="str">
        <f>name!F6</f>
        <v>RQF6 First degree</v>
      </c>
      <c r="U4" s="355"/>
      <c r="V4" s="355"/>
      <c r="W4" s="355"/>
      <c r="X4" s="355"/>
      <c r="Y4" s="78"/>
      <c r="Z4" s="354" t="str">
        <f>$B$4</f>
        <v>All qualifications</v>
      </c>
      <c r="AA4" s="354"/>
      <c r="AB4" s="354"/>
      <c r="AC4" s="354"/>
      <c r="AD4" s="354"/>
      <c r="AE4" s="85"/>
      <c r="AF4" s="354" t="str">
        <f>$H$4</f>
        <v>RQF8 Doctorate</v>
      </c>
      <c r="AG4" s="354"/>
      <c r="AH4" s="354"/>
      <c r="AI4" s="354"/>
      <c r="AJ4" s="354"/>
      <c r="AL4" s="355" t="str">
        <f>$N$4</f>
        <v>RQF7 Other higher degree</v>
      </c>
      <c r="AM4" s="355"/>
      <c r="AN4" s="355"/>
      <c r="AO4" s="355"/>
      <c r="AP4" s="355"/>
      <c r="AQ4" s="93"/>
      <c r="AR4" s="355" t="str">
        <f>$T$4</f>
        <v>RQF6 First degree</v>
      </c>
      <c r="AS4" s="355"/>
      <c r="AT4" s="355"/>
      <c r="AU4" s="355"/>
      <c r="AV4" s="355"/>
      <c r="AW4" s="78"/>
      <c r="AX4" s="354" t="str">
        <f>$B$4</f>
        <v>All qualifications</v>
      </c>
      <c r="AY4" s="354"/>
      <c r="AZ4" s="354"/>
      <c r="BA4" s="354"/>
      <c r="BB4" s="354"/>
      <c r="BC4" s="85"/>
      <c r="BD4" s="354" t="str">
        <f>$H$4</f>
        <v>RQF8 Doctorate</v>
      </c>
      <c r="BE4" s="354"/>
      <c r="BF4" s="354"/>
      <c r="BG4" s="354"/>
      <c r="BH4" s="354"/>
      <c r="BJ4" s="355" t="str">
        <f>$N$4</f>
        <v>RQF7 Other higher degree</v>
      </c>
      <c r="BK4" s="355"/>
      <c r="BL4" s="355"/>
      <c r="BM4" s="355"/>
      <c r="BN4" s="355"/>
      <c r="BO4" s="93"/>
      <c r="BP4" s="355" t="str">
        <f>$T$4</f>
        <v>RQF6 First degree</v>
      </c>
      <c r="BQ4" s="355"/>
      <c r="BR4" s="355"/>
      <c r="BS4" s="355"/>
      <c r="BT4" s="355"/>
      <c r="BU4" s="78"/>
      <c r="BV4" s="354" t="str">
        <f>$B$4</f>
        <v>All qualifications</v>
      </c>
      <c r="BW4" s="354"/>
      <c r="BX4" s="354"/>
      <c r="BY4" s="354"/>
      <c r="BZ4" s="354"/>
      <c r="CA4" s="85"/>
      <c r="CB4" s="354" t="str">
        <f>$H$4</f>
        <v>RQF8 Doctorate</v>
      </c>
      <c r="CC4" s="354"/>
      <c r="CD4" s="354"/>
      <c r="CE4" s="354"/>
      <c r="CF4" s="354"/>
      <c r="CH4" s="355" t="str">
        <f>$N$4</f>
        <v>RQF7 Other higher degree</v>
      </c>
      <c r="CI4" s="355"/>
      <c r="CJ4" s="355"/>
      <c r="CK4" s="355"/>
      <c r="CL4" s="355"/>
      <c r="CM4" s="93"/>
      <c r="CN4" s="355" t="str">
        <f>$T$4</f>
        <v>RQF6 First degree</v>
      </c>
      <c r="CO4" s="355"/>
      <c r="CP4" s="355"/>
      <c r="CQ4" s="355"/>
      <c r="CR4" s="355"/>
      <c r="CS4" s="78"/>
      <c r="CT4" s="354" t="str">
        <f>$B$4</f>
        <v>All qualifications</v>
      </c>
      <c r="CU4" s="354"/>
      <c r="CV4" s="354"/>
      <c r="CW4" s="354"/>
      <c r="CX4" s="354"/>
      <c r="CY4" s="85"/>
      <c r="CZ4" s="354" t="str">
        <f>$H$4</f>
        <v>RQF8 Doctorate</v>
      </c>
      <c r="DA4" s="354"/>
      <c r="DB4" s="354"/>
      <c r="DC4" s="354"/>
      <c r="DD4" s="354"/>
      <c r="DF4" s="355" t="str">
        <f>$N$4</f>
        <v>RQF7 Other higher degree</v>
      </c>
      <c r="DG4" s="355"/>
      <c r="DH4" s="355"/>
      <c r="DI4" s="355"/>
      <c r="DJ4" s="355"/>
      <c r="DK4" s="93"/>
      <c r="DL4" s="355" t="str">
        <f>$T$4</f>
        <v>RQF6 First degree</v>
      </c>
      <c r="DM4" s="355"/>
      <c r="DN4" s="355"/>
      <c r="DO4" s="355"/>
      <c r="DP4" s="355"/>
    </row>
    <row r="6" spans="1:120" s="84" customFormat="1" ht="38.25">
      <c r="A6" s="83"/>
      <c r="B6" s="88" t="s">
        <v>201</v>
      </c>
      <c r="C6" s="97" t="str">
        <f>CONCATENATE($A$100," Level")</f>
        <v>2015 Level</v>
      </c>
      <c r="D6" s="87" t="s">
        <v>192</v>
      </c>
      <c r="E6" s="97" t="s">
        <v>202</v>
      </c>
      <c r="F6" s="97" t="s">
        <v>203</v>
      </c>
      <c r="G6" s="86"/>
      <c r="H6" s="87" t="str">
        <f>B6</f>
        <v>RD p.a%</v>
      </c>
      <c r="I6" s="87" t="str">
        <f>C6</f>
        <v>2015 Level</v>
      </c>
      <c r="J6" s="87" t="str">
        <f>D6</f>
        <v>Net Change</v>
      </c>
      <c r="K6" s="87" t="str">
        <f>E6</f>
        <v>Replace-ment Demand</v>
      </c>
      <c r="L6" s="87" t="str">
        <f>F6</f>
        <v>Total Require-ment</v>
      </c>
      <c r="M6" s="86"/>
      <c r="N6" s="88" t="str">
        <f>H6</f>
        <v>RD p.a%</v>
      </c>
      <c r="O6" s="88" t="str">
        <f>I6</f>
        <v>2015 Level</v>
      </c>
      <c r="P6" s="88" t="str">
        <f>J6</f>
        <v>Net Change</v>
      </c>
      <c r="Q6" s="88" t="str">
        <f>K6</f>
        <v>Replace-ment Demand</v>
      </c>
      <c r="R6" s="88" t="str">
        <f>L6</f>
        <v>Total Require-ment</v>
      </c>
      <c r="S6" s="86"/>
      <c r="T6" s="88" t="str">
        <f>N6</f>
        <v>RD p.a%</v>
      </c>
      <c r="U6" s="88" t="str">
        <f>O6</f>
        <v>2015 Level</v>
      </c>
      <c r="V6" s="88" t="str">
        <f>P6</f>
        <v>Net Change</v>
      </c>
      <c r="W6" s="88" t="str">
        <f>Q6</f>
        <v>Replace-ment Demand</v>
      </c>
      <c r="X6" s="88" t="str">
        <f>R6</f>
        <v>Total Require-ment</v>
      </c>
      <c r="Y6" s="83"/>
      <c r="Z6" s="88" t="s">
        <v>201</v>
      </c>
      <c r="AA6" s="97" t="str">
        <f>CONCATENATE($A$100," Level")</f>
        <v>2015 Level</v>
      </c>
      <c r="AB6" s="87" t="s">
        <v>192</v>
      </c>
      <c r="AC6" s="97" t="s">
        <v>202</v>
      </c>
      <c r="AD6" s="97" t="s">
        <v>203</v>
      </c>
      <c r="AE6" s="86"/>
      <c r="AF6" s="87" t="str">
        <f>Z6</f>
        <v>RD p.a%</v>
      </c>
      <c r="AG6" s="87" t="str">
        <f>AA6</f>
        <v>2015 Level</v>
      </c>
      <c r="AH6" s="87" t="str">
        <f>AB6</f>
        <v>Net Change</v>
      </c>
      <c r="AI6" s="87" t="str">
        <f>AC6</f>
        <v>Replace-ment Demand</v>
      </c>
      <c r="AJ6" s="87" t="str">
        <f>AD6</f>
        <v>Total Require-ment</v>
      </c>
      <c r="AK6" s="86"/>
      <c r="AL6" s="88" t="str">
        <f>AF6</f>
        <v>RD p.a%</v>
      </c>
      <c r="AM6" s="88" t="str">
        <f>AG6</f>
        <v>2015 Level</v>
      </c>
      <c r="AN6" s="88" t="str">
        <f>AH6</f>
        <v>Net Change</v>
      </c>
      <c r="AO6" s="88" t="str">
        <f>AI6</f>
        <v>Replace-ment Demand</v>
      </c>
      <c r="AP6" s="88" t="str">
        <f>AJ6</f>
        <v>Total Require-ment</v>
      </c>
      <c r="AQ6" s="86"/>
      <c r="AR6" s="88" t="str">
        <f>AL6</f>
        <v>RD p.a%</v>
      </c>
      <c r="AS6" s="88" t="str">
        <f>AM6</f>
        <v>2015 Level</v>
      </c>
      <c r="AT6" s="88" t="str">
        <f>AN6</f>
        <v>Net Change</v>
      </c>
      <c r="AU6" s="88" t="str">
        <f>AO6</f>
        <v>Replace-ment Demand</v>
      </c>
      <c r="AV6" s="88" t="str">
        <f>AP6</f>
        <v>Total Require-ment</v>
      </c>
      <c r="AW6" s="83"/>
      <c r="AX6" s="88" t="s">
        <v>201</v>
      </c>
      <c r="AY6" s="97" t="str">
        <f>CONCATENATE($A$100," Level")</f>
        <v>2015 Level</v>
      </c>
      <c r="AZ6" s="87" t="s">
        <v>192</v>
      </c>
      <c r="BA6" s="97" t="s">
        <v>202</v>
      </c>
      <c r="BB6" s="97" t="s">
        <v>203</v>
      </c>
      <c r="BC6" s="86"/>
      <c r="BD6" s="87" t="str">
        <f>AX6</f>
        <v>RD p.a%</v>
      </c>
      <c r="BE6" s="87" t="str">
        <f>AY6</f>
        <v>2015 Level</v>
      </c>
      <c r="BF6" s="87" t="str">
        <f>AZ6</f>
        <v>Net Change</v>
      </c>
      <c r="BG6" s="87" t="str">
        <f>BA6</f>
        <v>Replace-ment Demand</v>
      </c>
      <c r="BH6" s="87" t="str">
        <f>BB6</f>
        <v>Total Require-ment</v>
      </c>
      <c r="BI6" s="86"/>
      <c r="BJ6" s="88" t="str">
        <f>BD6</f>
        <v>RD p.a%</v>
      </c>
      <c r="BK6" s="88" t="str">
        <f>BE6</f>
        <v>2015 Level</v>
      </c>
      <c r="BL6" s="88" t="str">
        <f>BF6</f>
        <v>Net Change</v>
      </c>
      <c r="BM6" s="88" t="str">
        <f>BG6</f>
        <v>Replace-ment Demand</v>
      </c>
      <c r="BN6" s="88" t="str">
        <f>BH6</f>
        <v>Total Require-ment</v>
      </c>
      <c r="BO6" s="86"/>
      <c r="BP6" s="88" t="str">
        <f>BJ6</f>
        <v>RD p.a%</v>
      </c>
      <c r="BQ6" s="88" t="str">
        <f>BK6</f>
        <v>2015 Level</v>
      </c>
      <c r="BR6" s="88" t="str">
        <f>BL6</f>
        <v>Net Change</v>
      </c>
      <c r="BS6" s="88" t="str">
        <f>BM6</f>
        <v>Replace-ment Demand</v>
      </c>
      <c r="BT6" s="88" t="str">
        <f>BN6</f>
        <v>Total Require-ment</v>
      </c>
      <c r="BU6" s="83"/>
      <c r="BV6" s="88" t="s">
        <v>201</v>
      </c>
      <c r="BW6" s="97" t="str">
        <f>CONCATENATE($A$100," Level")</f>
        <v>2015 Level</v>
      </c>
      <c r="BX6" s="87" t="s">
        <v>192</v>
      </c>
      <c r="BY6" s="97" t="s">
        <v>202</v>
      </c>
      <c r="BZ6" s="97" t="s">
        <v>203</v>
      </c>
      <c r="CA6" s="86"/>
      <c r="CB6" s="87" t="str">
        <f>BV6</f>
        <v>RD p.a%</v>
      </c>
      <c r="CC6" s="87" t="str">
        <f>BW6</f>
        <v>2015 Level</v>
      </c>
      <c r="CD6" s="87" t="str">
        <f>BX6</f>
        <v>Net Change</v>
      </c>
      <c r="CE6" s="87" t="str">
        <f>BY6</f>
        <v>Replace-ment Demand</v>
      </c>
      <c r="CF6" s="87" t="str">
        <f>BZ6</f>
        <v>Total Require-ment</v>
      </c>
      <c r="CG6" s="86"/>
      <c r="CH6" s="88" t="str">
        <f>CB6</f>
        <v>RD p.a%</v>
      </c>
      <c r="CI6" s="88" t="str">
        <f>CC6</f>
        <v>2015 Level</v>
      </c>
      <c r="CJ6" s="88" t="str">
        <f>CD6</f>
        <v>Net Change</v>
      </c>
      <c r="CK6" s="88" t="str">
        <f>CE6</f>
        <v>Replace-ment Demand</v>
      </c>
      <c r="CL6" s="88" t="str">
        <f>CF6</f>
        <v>Total Require-ment</v>
      </c>
      <c r="CM6" s="86"/>
      <c r="CN6" s="88" t="str">
        <f>CH6</f>
        <v>RD p.a%</v>
      </c>
      <c r="CO6" s="88" t="str">
        <f>CI6</f>
        <v>2015 Level</v>
      </c>
      <c r="CP6" s="88" t="str">
        <f>CJ6</f>
        <v>Net Change</v>
      </c>
      <c r="CQ6" s="88" t="str">
        <f>CK6</f>
        <v>Replace-ment Demand</v>
      </c>
      <c r="CR6" s="88" t="str">
        <f>CL6</f>
        <v>Total Require-ment</v>
      </c>
      <c r="CS6" s="83"/>
      <c r="CT6" s="88" t="s">
        <v>201</v>
      </c>
      <c r="CU6" s="97" t="str">
        <f>CONCATENATE($A$100," Level")</f>
        <v>2015 Level</v>
      </c>
      <c r="CV6" s="87" t="s">
        <v>192</v>
      </c>
      <c r="CW6" s="97" t="s">
        <v>202</v>
      </c>
      <c r="CX6" s="97" t="s">
        <v>203</v>
      </c>
      <c r="CY6" s="86"/>
      <c r="CZ6" s="87" t="str">
        <f>CT6</f>
        <v>RD p.a%</v>
      </c>
      <c r="DA6" s="87" t="str">
        <f>CU6</f>
        <v>2015 Level</v>
      </c>
      <c r="DB6" s="87" t="str">
        <f>CV6</f>
        <v>Net Change</v>
      </c>
      <c r="DC6" s="87" t="str">
        <f>CW6</f>
        <v>Replace-ment Demand</v>
      </c>
      <c r="DD6" s="87" t="str">
        <f>CX6</f>
        <v>Total Require-ment</v>
      </c>
      <c r="DE6" s="86"/>
      <c r="DF6" s="88" t="str">
        <f>CZ6</f>
        <v>RD p.a%</v>
      </c>
      <c r="DG6" s="88" t="str">
        <f>DA6</f>
        <v>2015 Level</v>
      </c>
      <c r="DH6" s="88" t="str">
        <f>DB6</f>
        <v>Net Change</v>
      </c>
      <c r="DI6" s="88" t="str">
        <f>DC6</f>
        <v>Replace-ment Demand</v>
      </c>
      <c r="DJ6" s="88" t="str">
        <f>DD6</f>
        <v>Total Require-ment</v>
      </c>
      <c r="DK6" s="86"/>
      <c r="DL6" s="88" t="str">
        <f>DF6</f>
        <v>RD p.a%</v>
      </c>
      <c r="DM6" s="88" t="str">
        <f>DG6</f>
        <v>2015 Level</v>
      </c>
      <c r="DN6" s="88" t="str">
        <f>DH6</f>
        <v>Net Change</v>
      </c>
      <c r="DO6" s="88" t="str">
        <f>DI6</f>
        <v>Replace-ment Demand</v>
      </c>
      <c r="DP6" s="88" t="str">
        <f>DJ6</f>
        <v>Total Require-ment</v>
      </c>
    </row>
    <row r="8" spans="1:120">
      <c r="A8" s="73" t="str">
        <f>name!B4</f>
        <v>Agriculture</v>
      </c>
      <c r="B8" s="31">
        <f>IF(C8&gt;0,((1+(E8/C8))^(1/($A$101-$A$100))-1)*100,0)</f>
        <v>3.6286528043839583</v>
      </c>
      <c r="C8" s="11">
        <v>55.936999999999848</v>
      </c>
      <c r="D8" s="76">
        <v>-6.9799999999999773</v>
      </c>
      <c r="E8" s="76">
        <v>23.953969842292668</v>
      </c>
      <c r="F8" s="76">
        <f>SUM(D8:E8)</f>
        <v>16.973969842292689</v>
      </c>
      <c r="G8" s="76"/>
      <c r="H8" s="31">
        <f>IF(I8&gt;0,((1+(K8/I8))^(1/($A$101-$A$100))-1)*100,0)</f>
        <v>3.5263839839017708</v>
      </c>
      <c r="I8" s="76">
        <v>17.246149343314809</v>
      </c>
      <c r="J8" s="76">
        <v>-6.8895887133768028</v>
      </c>
      <c r="K8" s="76">
        <v>7.1433335785126539</v>
      </c>
      <c r="L8" s="76">
        <f>SUM(J8:K8)</f>
        <v>0.25374486513585115</v>
      </c>
      <c r="N8" s="31">
        <f>IF(O8&gt;0,((1+(Q8/O8))^(1/($A$101-$A$100))-1)*100,0)</f>
        <v>3.688575763403712</v>
      </c>
      <c r="O8" s="76">
        <v>26.89476620234856</v>
      </c>
      <c r="P8" s="76">
        <v>-1.7755328024279793</v>
      </c>
      <c r="Q8" s="76">
        <v>11.739873371498375</v>
      </c>
      <c r="R8" s="76">
        <f>SUM(P8:Q8)</f>
        <v>9.9643405690703943</v>
      </c>
      <c r="S8" s="89"/>
      <c r="T8" s="31">
        <f>IF(U8&gt;0,((1+(W8/U8))^(1/($A$101-$A$100))-1)*100,0)</f>
        <v>3.6405249613346236</v>
      </c>
      <c r="U8" s="76">
        <v>11.79608445433648</v>
      </c>
      <c r="V8" s="76">
        <v>1.6851215158048036</v>
      </c>
      <c r="W8" s="76">
        <v>5.0707628922816417</v>
      </c>
      <c r="X8" s="76">
        <f>SUM(V8:W8)</f>
        <v>6.7558844080864455</v>
      </c>
      <c r="Y8" s="73" t="str">
        <f t="shared" ref="Y8:Y48" si="0">A8</f>
        <v>Agriculture</v>
      </c>
      <c r="Z8" s="31">
        <f>IF(AA8&gt;0,((1+(AC8/AA8))^(1/($A$101-$A$100))-1)*100,0)</f>
        <v>3.2278133961415545</v>
      </c>
      <c r="AA8" s="11">
        <v>4.3826960714462242</v>
      </c>
      <c r="AB8" s="76">
        <v>3.8928451595904385</v>
      </c>
      <c r="AC8" s="76">
        <v>1.6388586204918438</v>
      </c>
      <c r="AD8" s="76">
        <f>SUM(AB8:AC8)</f>
        <v>5.5317037800822826</v>
      </c>
      <c r="AE8" s="76"/>
      <c r="AF8" s="31">
        <f>IF(AG8&gt;0,((1+(AI8/AG8))^(1/($A$101-$A$100))-1)*100,0)</f>
        <v>3.7281488295962228</v>
      </c>
      <c r="AG8" s="76">
        <v>0.36786575366769064</v>
      </c>
      <c r="AH8" s="76">
        <v>0.72586367094203585</v>
      </c>
      <c r="AI8" s="76">
        <v>0.16259790102888269</v>
      </c>
      <c r="AJ8" s="76">
        <f>SUM(AH8:AI8)</f>
        <v>0.88846157197091857</v>
      </c>
      <c r="AL8" s="31">
        <f>IF(AM8&gt;0,((1+(AO8/AM8))^(1/($A$101-$A$100))-1)*100,0)</f>
        <v>3.4098436752145078</v>
      </c>
      <c r="AM8" s="76">
        <v>1.6324139933768864</v>
      </c>
      <c r="AN8" s="76">
        <v>2.2923856880061342</v>
      </c>
      <c r="AO8" s="76">
        <v>0.65028751093123516</v>
      </c>
      <c r="AP8" s="76">
        <f>SUM(AN8:AO8)</f>
        <v>2.9426731989373693</v>
      </c>
      <c r="AQ8" s="89"/>
      <c r="AR8" s="31">
        <f>IF(AS8&gt;0,((1+(AU8/AS8))^(1/($A$101-$A$100))-1)*100,0)</f>
        <v>3.0212804601292831</v>
      </c>
      <c r="AS8" s="76">
        <v>2.382416324401647</v>
      </c>
      <c r="AT8" s="76">
        <v>0.87459580064226849</v>
      </c>
      <c r="AU8" s="76">
        <v>0.82597320853172596</v>
      </c>
      <c r="AV8" s="76">
        <f>SUM(AT8:AU8)</f>
        <v>1.7005690091739945</v>
      </c>
      <c r="AW8" s="73" t="str">
        <f>Y8</f>
        <v>Agriculture</v>
      </c>
      <c r="AX8" s="31">
        <f>IF(AY8&gt;0,((1+(BA8/AY8))^(1/($A$101-$A$100))-1)*100,0)</f>
        <v>2.6560490695816119</v>
      </c>
      <c r="AY8" s="11">
        <v>1.9992749386487922</v>
      </c>
      <c r="AZ8" s="76">
        <v>0.50024802314102146</v>
      </c>
      <c r="BA8" s="76">
        <v>0.59919667769333007</v>
      </c>
      <c r="BB8" s="76">
        <f>SUM(AZ8:BA8)</f>
        <v>1.0994447008343515</v>
      </c>
      <c r="BC8" s="76"/>
      <c r="BD8" s="31">
        <f>IF(BE8&gt;0,((1+(BG8/BE8))^(1/($A$101-$A$100))-1)*100,0)</f>
        <v>2.5886964610706498</v>
      </c>
      <c r="BE8" s="76">
        <v>0.35374225719986674</v>
      </c>
      <c r="BF8" s="76">
        <v>0.49967527486298247</v>
      </c>
      <c r="BG8" s="76">
        <v>0.1030114256045692</v>
      </c>
      <c r="BH8" s="76">
        <f>SUM(BF8:BG8)</f>
        <v>0.60268670046755168</v>
      </c>
      <c r="BJ8" s="31">
        <f>IF(BK8&gt;0,((1+(BM8/BK8))^(1/($A$101-$A$100))-1)*100,0)</f>
        <v>2.6156756899814892</v>
      </c>
      <c r="BK8" s="76">
        <v>0.79083739900797367</v>
      </c>
      <c r="BL8" s="76">
        <v>8.9741026511377109E-2</v>
      </c>
      <c r="BM8" s="76">
        <v>0.2329842080987119</v>
      </c>
      <c r="BN8" s="76">
        <f>SUM(BL8:BM8)</f>
        <v>0.32272523461008901</v>
      </c>
      <c r="BO8" s="89"/>
      <c r="BP8" s="31">
        <f>IF(BQ8&gt;0,((1+(BS8/BQ8))^(1/($A$101-$A$100))-1)*100,0)</f>
        <v>2.7209488084197098</v>
      </c>
      <c r="BQ8" s="76">
        <v>0.85469528244095183</v>
      </c>
      <c r="BR8" s="76">
        <v>-8.91682782333382E-2</v>
      </c>
      <c r="BS8" s="76">
        <v>0.26320104399004901</v>
      </c>
      <c r="BT8" s="76">
        <f>SUM(BR8:BS8)</f>
        <v>0.17403276575671081</v>
      </c>
      <c r="BU8" s="73" t="str">
        <f>AW8</f>
        <v>Agriculture</v>
      </c>
      <c r="BV8" s="31">
        <f>IF(BW8&gt;0,((1+(BY8/BW8))^(1/($A$101-$A$100))-1)*100,0)</f>
        <v>4.0147443282656514</v>
      </c>
      <c r="BW8" s="11">
        <v>39.351032099647234</v>
      </c>
      <c r="BX8" s="76">
        <v>-10.192568070379561</v>
      </c>
      <c r="BY8" s="76">
        <v>18.980742173027217</v>
      </c>
      <c r="BZ8" s="76">
        <f>SUM(BX8:BY8)</f>
        <v>8.7881741026476554</v>
      </c>
      <c r="CA8" s="76"/>
      <c r="CB8" s="31">
        <f>IF(CC8&gt;0,((1+(CE8/CC8))^(1/($A$101-$A$100))-1)*100,0)</f>
        <v>3.9264502862225381</v>
      </c>
      <c r="CC8" s="76">
        <v>12.261822191887621</v>
      </c>
      <c r="CD8" s="76">
        <v>-6.5032966118226403</v>
      </c>
      <c r="CE8" s="76">
        <v>5.7607158890505197</v>
      </c>
      <c r="CF8" s="76">
        <f>SUM(CD8:CE8)</f>
        <v>-0.74258072277212062</v>
      </c>
      <c r="CH8" s="31">
        <f>IF(CI8&gt;0,((1+(CK8/CI8))^(1/($A$101-$A$100))-1)*100,0)</f>
        <v>3.9924360846625317</v>
      </c>
      <c r="CI8" s="76">
        <v>20.383214444648981</v>
      </c>
      <c r="CJ8" s="76">
        <v>-4.2877513599355161</v>
      </c>
      <c r="CK8" s="76">
        <v>9.7669852444241734</v>
      </c>
      <c r="CL8" s="76">
        <f>SUM(CJ8:CK8)</f>
        <v>5.4792338844886572</v>
      </c>
      <c r="CM8" s="89"/>
      <c r="CN8" s="31">
        <f>IF(CO8&gt;0,((1+(CQ8/CO8))^(1/($A$101-$A$100))-1)*100,0)</f>
        <v>4.2410858263209894</v>
      </c>
      <c r="CO8" s="76">
        <v>6.7059954631106375</v>
      </c>
      <c r="CP8" s="76">
        <v>0.59847990137859675</v>
      </c>
      <c r="CQ8" s="76">
        <v>3.4530410395525251</v>
      </c>
      <c r="CR8" s="76">
        <f>SUM(CP8:CQ8)</f>
        <v>4.0515209409311215</v>
      </c>
      <c r="CS8" s="73" t="str">
        <f>BU8</f>
        <v>Agriculture</v>
      </c>
      <c r="CT8" s="31">
        <f>IF(CU8&gt;0,((1+(CW8/CU8))^(1/($A$101-$A$100))-1)*100,0)</f>
        <v>2.4032187492160517</v>
      </c>
      <c r="CU8" s="11">
        <v>10.203996890257596</v>
      </c>
      <c r="CV8" s="76">
        <v>-1.1805251123518785</v>
      </c>
      <c r="CW8" s="76">
        <v>2.7351723710802771</v>
      </c>
      <c r="CX8" s="76">
        <f>SUM(CV8:CW8)</f>
        <v>1.5546472587283986</v>
      </c>
      <c r="CY8" s="76"/>
      <c r="CZ8" s="31">
        <f>IF(DA8&gt;0,((1+(DC8/DA8))^(1/($A$101-$A$100))-1)*100,0)</f>
        <v>2.3545977595102796</v>
      </c>
      <c r="DA8" s="76">
        <v>4.2627191405596321</v>
      </c>
      <c r="DB8" s="76">
        <v>-1.6118310473591806</v>
      </c>
      <c r="DC8" s="76">
        <v>1.1170083628286818</v>
      </c>
      <c r="DD8" s="76">
        <f>SUM(DB8:DC8)</f>
        <v>-0.49482268453049882</v>
      </c>
      <c r="DF8" s="31">
        <f>IF(DG8&gt;0,((1+(DI8/DG8))^(1/($A$101-$A$100))-1)*100,0)</f>
        <v>2.3908685473913449</v>
      </c>
      <c r="DG8" s="76">
        <v>4.088300365314721</v>
      </c>
      <c r="DH8" s="76">
        <v>0.13009184299002535</v>
      </c>
      <c r="DI8" s="76">
        <v>1.0896164080442534</v>
      </c>
      <c r="DJ8" s="76">
        <f>SUM(DH8:DI8)</f>
        <v>1.2197082510342787</v>
      </c>
      <c r="DK8" s="89"/>
      <c r="DL8" s="31">
        <f>IF(DM8&gt;0,((1+(DO8/DM8))^(1/($A$101-$A$100))-1)*100,0)</f>
        <v>2.5412252196502561</v>
      </c>
      <c r="DM8" s="76">
        <v>1.8529773843832451</v>
      </c>
      <c r="DN8" s="76">
        <v>0.30121409201727667</v>
      </c>
      <c r="DO8" s="76">
        <v>0.52854760020734193</v>
      </c>
      <c r="DP8" s="76">
        <f>SUM(DN8:DO8)</f>
        <v>0.8297616922246186</v>
      </c>
    </row>
    <row r="9" spans="1:120">
      <c r="A9" s="73" t="str">
        <f>name!B5</f>
        <v>Mining and quarrying</v>
      </c>
      <c r="B9" s="31">
        <f t="shared" ref="B9:B50" si="1">IF(C9&gt;0,((1+(E9/C9))^(1/($A$101-$A$100))-1)*100,0)</f>
        <v>2.5879456250919697</v>
      </c>
      <c r="C9" s="11">
        <v>2.8879999999999906</v>
      </c>
      <c r="D9" s="76">
        <v>0.31300000000000278</v>
      </c>
      <c r="E9" s="76">
        <v>0.84072640567762824</v>
      </c>
      <c r="F9" s="76">
        <f t="shared" ref="F9:F50" si="2">SUM(D9:E9)</f>
        <v>1.1537264056776311</v>
      </c>
      <c r="G9" s="76"/>
      <c r="H9" s="31">
        <f t="shared" ref="H9:H50" si="3">IF(I9&gt;0,((1+(K9/I9))^(1/($A$101-$A$100))-1)*100,0)</f>
        <v>2.4436532378282472</v>
      </c>
      <c r="I9" s="76">
        <v>0.56134327419487429</v>
      </c>
      <c r="J9" s="76">
        <v>-0.21770904065899815</v>
      </c>
      <c r="K9" s="76">
        <v>0.15328319439040927</v>
      </c>
      <c r="L9" s="76">
        <f t="shared" ref="L9:L48" si="4">SUM(J9:K9)</f>
        <v>-6.4425846268588882E-2</v>
      </c>
      <c r="N9" s="31">
        <f t="shared" ref="N9:N50" si="5">IF(O9&gt;0,((1+(Q9/O9))^(1/($A$101-$A$100))-1)*100,0)</f>
        <v>2.5068914334568815</v>
      </c>
      <c r="O9" s="76">
        <v>1.5400906331410087</v>
      </c>
      <c r="P9" s="76">
        <v>0.28375808682996728</v>
      </c>
      <c r="Q9" s="76">
        <v>0.43268145633424426</v>
      </c>
      <c r="R9" s="76">
        <f t="shared" ref="R9:R48" si="6">SUM(P9:Q9)</f>
        <v>0.71643954316421155</v>
      </c>
      <c r="S9" s="89"/>
      <c r="T9" s="31">
        <f t="shared" ref="T9:T50" si="7">IF(U9&gt;0,((1+(W9/U9))^(1/($A$101-$A$100))-1)*100,0)</f>
        <v>2.8454839589988623</v>
      </c>
      <c r="U9" s="76">
        <v>0.78656609266410804</v>
      </c>
      <c r="V9" s="76">
        <v>0.24695095382903356</v>
      </c>
      <c r="W9" s="76">
        <v>0.25476175495297482</v>
      </c>
      <c r="X9" s="76">
        <f t="shared" ref="X9:X48" si="8">SUM(V9:W9)</f>
        <v>0.50171270878200835</v>
      </c>
      <c r="Y9" s="73" t="str">
        <f t="shared" si="0"/>
        <v>Mining and quarrying</v>
      </c>
      <c r="Z9" s="31">
        <f t="shared" ref="Z9:Z48" si="9">IF(AA9&gt;0,((1+(AC9/AA9))^(1/($A$101-$A$100))-1)*100,0)</f>
        <v>2.8484964339744012</v>
      </c>
      <c r="AA9" s="11">
        <v>0.91916274125036446</v>
      </c>
      <c r="AB9" s="76">
        <v>0.31532613098932155</v>
      </c>
      <c r="AC9" s="76">
        <v>0.29806511305958167</v>
      </c>
      <c r="AD9" s="76">
        <f t="shared" ref="AD9:AD48" si="10">SUM(AB9:AC9)</f>
        <v>0.61339124404890322</v>
      </c>
      <c r="AE9" s="76"/>
      <c r="AF9" s="31">
        <f t="shared" ref="AF9:AF48" si="11">IF(AG9&gt;0,((1+(AI9/AG9))^(1/($A$101-$A$100))-1)*100,0)</f>
        <v>2.5647482470575023</v>
      </c>
      <c r="AG9" s="76">
        <v>6.0971942881735838E-2</v>
      </c>
      <c r="AH9" s="76">
        <v>-2.5168577316816716E-2</v>
      </c>
      <c r="AI9" s="76">
        <v>1.7571732105538661E-2</v>
      </c>
      <c r="AJ9" s="76">
        <f t="shared" ref="AJ9:AJ48" si="12">SUM(AH9:AI9)</f>
        <v>-7.5968452112780555E-3</v>
      </c>
      <c r="AL9" s="31">
        <f t="shared" ref="AL9:AL48" si="13">IF(AM9&gt;0,((1+(AO9/AM9))^(1/($A$101-$A$100))-1)*100,0)</f>
        <v>2.6969613560046124</v>
      </c>
      <c r="AM9" s="76">
        <v>0.23935227172586462</v>
      </c>
      <c r="AN9" s="76">
        <v>0.14142536362746669</v>
      </c>
      <c r="AO9" s="76">
        <v>7.2977576857019638E-2</v>
      </c>
      <c r="AP9" s="76">
        <f t="shared" ref="AP9:AP48" si="14">SUM(AN9:AO9)</f>
        <v>0.21440294048448633</v>
      </c>
      <c r="AQ9" s="89"/>
      <c r="AR9" s="31">
        <f t="shared" ref="AR9:AR48" si="15">IF(AS9&gt;0,((1+(AU9/AS9))^(1/($A$101-$A$100))-1)*100,0)</f>
        <v>2.9340110632854799</v>
      </c>
      <c r="AS9" s="76">
        <v>0.61883852664276406</v>
      </c>
      <c r="AT9" s="76">
        <v>0.19906934467867154</v>
      </c>
      <c r="AU9" s="76">
        <v>0.20751580409702336</v>
      </c>
      <c r="AV9" s="76">
        <f t="shared" ref="AV9:AV48" si="16">SUM(AT9:AU9)</f>
        <v>0.4065851487756949</v>
      </c>
      <c r="AW9" s="73" t="str">
        <f t="shared" ref="AW9:AW48" si="17">Y9</f>
        <v>Mining and quarrying</v>
      </c>
      <c r="AX9" s="31">
        <f t="shared" ref="AX9:AX48" si="18">IF(AY9&gt;0,((1+(BA9/AY9))^(1/($A$101-$A$100))-1)*100,0)</f>
        <v>2.6726206587082579</v>
      </c>
      <c r="AY9" s="11">
        <v>0.3067194252346826</v>
      </c>
      <c r="AZ9" s="76">
        <v>6.8760264538259452E-2</v>
      </c>
      <c r="BA9" s="76">
        <v>9.2569950318502167E-2</v>
      </c>
      <c r="BB9" s="76">
        <f t="shared" ref="BB9:BB48" si="19">SUM(AZ9:BA9)</f>
        <v>0.16133021485676163</v>
      </c>
      <c r="BC9" s="76"/>
      <c r="BD9" s="31">
        <f t="shared" ref="BD9:BD48" si="20">IF(BE9&gt;0,((1+(BG9/BE9))^(1/($A$101-$A$100))-1)*100,0)</f>
        <v>2.5499994113037161</v>
      </c>
      <c r="BE9" s="76">
        <v>4.8330458353493297E-2</v>
      </c>
      <c r="BF9" s="76">
        <v>1.4245064889474328E-2</v>
      </c>
      <c r="BG9" s="76">
        <v>1.3839064758290531E-2</v>
      </c>
      <c r="BH9" s="76">
        <f t="shared" ref="BH9:BH48" si="21">SUM(BF9:BG9)</f>
        <v>2.8084129647764858E-2</v>
      </c>
      <c r="BJ9" s="31">
        <f t="shared" ref="BJ9:BJ48" si="22">IF(BK9&gt;0,((1+(BM9/BK9))^(1/($A$101-$A$100))-1)*100,0)</f>
        <v>2.6327433470687112</v>
      </c>
      <c r="BK9" s="76">
        <v>0.1678509941154788</v>
      </c>
      <c r="BL9" s="76">
        <v>9.5539598382306211E-3</v>
      </c>
      <c r="BM9" s="76">
        <v>4.9811346068916303E-2</v>
      </c>
      <c r="BN9" s="76">
        <f t="shared" ref="BN9:BN48" si="23">SUM(BL9:BM9)</f>
        <v>5.936530590714692E-2</v>
      </c>
      <c r="BO9" s="89"/>
      <c r="BP9" s="31">
        <f t="shared" ref="BP9:BP48" si="24">IF(BQ9&gt;0,((1+(BS9/BQ9))^(1/($A$101-$A$100))-1)*100,0)</f>
        <v>2.8106890888395686</v>
      </c>
      <c r="BQ9" s="76">
        <v>9.0537972765710545E-2</v>
      </c>
      <c r="BR9" s="76">
        <v>4.4961239810554506E-2</v>
      </c>
      <c r="BS9" s="76">
        <v>2.8919539491295328E-2</v>
      </c>
      <c r="BT9" s="76">
        <f t="shared" ref="BT9:BT48" si="25">SUM(BR9:BS9)</f>
        <v>7.388077930184983E-2</v>
      </c>
      <c r="BU9" s="73" t="str">
        <f t="shared" ref="BU9:BU48" si="26">AW9</f>
        <v>Mining and quarrying</v>
      </c>
      <c r="BV9" s="31">
        <f t="shared" ref="BV9:BV48" si="27">IF(BW9&gt;0,((1+(BY9/BW9))^(1/($A$101-$A$100))-1)*100,0)</f>
        <v>2.4107447061383347</v>
      </c>
      <c r="BW9" s="11">
        <v>1.5632668821604008</v>
      </c>
      <c r="BX9" s="76">
        <v>-0.15103332096346828</v>
      </c>
      <c r="BY9" s="76">
        <v>0.42048964990866566</v>
      </c>
      <c r="BZ9" s="76">
        <f t="shared" ref="BZ9:BZ48" si="28">SUM(BX9:BY9)</f>
        <v>0.26945632894519739</v>
      </c>
      <c r="CA9" s="76"/>
      <c r="CB9" s="31">
        <f t="shared" ref="CB9:CB48" si="29">IF(CC9&gt;0,((1+(CE9/CC9))^(1/($A$101-$A$100))-1)*100,0)</f>
        <v>2.407525741530181</v>
      </c>
      <c r="CC9" s="76">
        <v>0.42499848743780899</v>
      </c>
      <c r="CD9" s="76">
        <v>-0.17974314270981959</v>
      </c>
      <c r="CE9" s="76">
        <v>0.11414717753563779</v>
      </c>
      <c r="CF9" s="76">
        <f t="shared" ref="CF9:CF48" si="30">SUM(CD9:CE9)</f>
        <v>-6.55959651741818E-2</v>
      </c>
      <c r="CH9" s="31">
        <f t="shared" ref="CH9:CH48" si="31">IF(CI9&gt;0,((1+(CK9/CI9))^(1/($A$101-$A$100))-1)*100,0)</f>
        <v>2.4305453687403666</v>
      </c>
      <c r="CI9" s="76">
        <v>1.0610788014669583</v>
      </c>
      <c r="CJ9" s="76">
        <v>2.578945240654381E-2</v>
      </c>
      <c r="CK9" s="76">
        <v>0.28801606100837185</v>
      </c>
      <c r="CL9" s="76">
        <f t="shared" ref="CL9:CL48" si="32">SUM(CJ9:CK9)</f>
        <v>0.31380551341491564</v>
      </c>
      <c r="CM9" s="89"/>
      <c r="CN9" s="31">
        <f t="shared" ref="CN9:CN48" si="33">IF(CO9&gt;0,((1+(CQ9/CO9))^(1/($A$101-$A$100))-1)*100,0)</f>
        <v>2.1531444581060377</v>
      </c>
      <c r="CO9" s="76">
        <v>7.7189593255633515E-2</v>
      </c>
      <c r="CP9" s="76">
        <v>2.9203693398075089E-3</v>
      </c>
      <c r="CQ9" s="76">
        <v>1.8326411364656129E-2</v>
      </c>
      <c r="CR9" s="76">
        <f t="shared" ref="CR9:CR48" si="34">SUM(CP9:CQ9)</f>
        <v>2.1246780704463637E-2</v>
      </c>
      <c r="CS9" s="73" t="str">
        <f t="shared" ref="CS9:CS48" si="35">BU9</f>
        <v>Mining and quarrying</v>
      </c>
      <c r="CT9" s="31">
        <f t="shared" ref="CT9:CT48" si="36">IF(CU9&gt;0,((1+(CW9/CU9))^(1/($A$101-$A$100))-1)*100,0)</f>
        <v>2.6540810004833215</v>
      </c>
      <c r="CU9" s="11">
        <v>9.8850951354543179E-2</v>
      </c>
      <c r="CV9" s="76">
        <v>7.9946925435890021E-2</v>
      </c>
      <c r="CW9" s="76">
        <v>2.9601692390878832E-2</v>
      </c>
      <c r="CX9" s="76">
        <f t="shared" ref="CX9:CX48" si="37">SUM(CV9:CW9)</f>
        <v>0.10954861782676885</v>
      </c>
      <c r="CY9" s="76"/>
      <c r="CZ9" s="31">
        <f t="shared" ref="CZ9:CZ48" si="38">IF(DA9&gt;0,((1+(DC9/DA9))^(1/($A$101-$A$100))-1)*100,0)</f>
        <v>2.5446431599745356</v>
      </c>
      <c r="DA9" s="76">
        <v>2.7042385521836187E-2</v>
      </c>
      <c r="DB9" s="76">
        <v>-2.7042385521836187E-2</v>
      </c>
      <c r="DC9" s="76">
        <v>7.7252199909423136E-3</v>
      </c>
      <c r="DD9" s="76">
        <f t="shared" ref="DD9:DD48" si="39">SUM(DB9:DC9)</f>
        <v>-1.9317165530893875E-2</v>
      </c>
      <c r="DF9" s="31">
        <f t="shared" ref="DF9:DF48" si="40">IF(DG9&gt;0,((1+(DI9/DG9))^(1/($A$101-$A$100))-1)*100,0)</f>
        <v>2.695023478374603</v>
      </c>
      <c r="DG9" s="76">
        <v>7.1808565832706991E-2</v>
      </c>
      <c r="DH9" s="76">
        <v>0.10698931095772621</v>
      </c>
      <c r="DI9" s="76">
        <v>2.1876472399936519E-2</v>
      </c>
      <c r="DJ9" s="76">
        <f t="shared" ref="DJ9:DJ48" si="41">SUM(DH9:DI9)</f>
        <v>0.12886578335766272</v>
      </c>
      <c r="DK9" s="89"/>
      <c r="DL9" s="31">
        <f t="shared" ref="DL9:DL48" si="42">IF(DM9&gt;0,((1+(DO9/DM9))^(1/($A$101-$A$100))-1)*100,0)</f>
        <v>0</v>
      </c>
      <c r="DM9" s="76">
        <v>0</v>
      </c>
      <c r="DN9" s="76">
        <v>0</v>
      </c>
      <c r="DO9" s="76">
        <v>0</v>
      </c>
      <c r="DP9" s="76">
        <f t="shared" ref="DP9:DP48" si="43">SUM(DN9:DO9)</f>
        <v>0</v>
      </c>
    </row>
    <row r="10" spans="1:120">
      <c r="A10" s="73" t="str">
        <f>name!B6</f>
        <v>Food drink and tobacco</v>
      </c>
      <c r="B10" s="31">
        <f t="shared" si="1"/>
        <v>2.4974565282579464</v>
      </c>
      <c r="C10" s="11">
        <v>95.045497362862733</v>
      </c>
      <c r="D10" s="76">
        <v>-5.3306461845042801</v>
      </c>
      <c r="E10" s="76">
        <v>26.590587472903774</v>
      </c>
      <c r="F10" s="76">
        <f t="shared" si="2"/>
        <v>21.259941288399496</v>
      </c>
      <c r="G10" s="76"/>
      <c r="H10" s="31">
        <f t="shared" si="3"/>
        <v>2.284281579929015</v>
      </c>
      <c r="I10" s="76">
        <v>28.557886141186682</v>
      </c>
      <c r="J10" s="76">
        <v>-7.0859124796803128</v>
      </c>
      <c r="K10" s="76">
        <v>7.2365107328119995</v>
      </c>
      <c r="L10" s="76">
        <f t="shared" si="4"/>
        <v>0.15059825313168673</v>
      </c>
      <c r="N10" s="31">
        <f t="shared" si="5"/>
        <v>2.4310099949182096</v>
      </c>
      <c r="O10" s="76">
        <v>47.02342038156808</v>
      </c>
      <c r="P10" s="76">
        <v>2.711005058419897</v>
      </c>
      <c r="Q10" s="76">
        <v>12.766608810353613</v>
      </c>
      <c r="R10" s="76">
        <f t="shared" si="6"/>
        <v>15.47761386877351</v>
      </c>
      <c r="S10" s="89"/>
      <c r="T10" s="31">
        <f t="shared" si="7"/>
        <v>2.9579537866369021</v>
      </c>
      <c r="U10" s="76">
        <v>19.464190840107968</v>
      </c>
      <c r="V10" s="76">
        <v>-0.95573876324386542</v>
      </c>
      <c r="W10" s="76">
        <v>6.5874679297381604</v>
      </c>
      <c r="X10" s="76">
        <f t="shared" si="8"/>
        <v>5.6317291664942948</v>
      </c>
      <c r="Y10" s="73" t="str">
        <f t="shared" si="0"/>
        <v>Food drink and tobacco</v>
      </c>
      <c r="Z10" s="31">
        <f t="shared" si="9"/>
        <v>3.1266976916814349</v>
      </c>
      <c r="AA10" s="11">
        <v>21.34292323603459</v>
      </c>
      <c r="AB10" s="76">
        <v>-5.4147809911053627E-2</v>
      </c>
      <c r="AC10" s="76">
        <v>7.6949639013979727</v>
      </c>
      <c r="AD10" s="76">
        <f t="shared" si="10"/>
        <v>7.6408160914869194</v>
      </c>
      <c r="AE10" s="76"/>
      <c r="AF10" s="31">
        <f t="shared" si="11"/>
        <v>3.009575633743844</v>
      </c>
      <c r="AG10" s="76">
        <v>1.8592043302087065</v>
      </c>
      <c r="AH10" s="76">
        <v>-0.39908371390288427</v>
      </c>
      <c r="AI10" s="76">
        <v>0.64173468922880073</v>
      </c>
      <c r="AJ10" s="76">
        <f t="shared" si="12"/>
        <v>0.24265097532591645</v>
      </c>
      <c r="AL10" s="31">
        <f t="shared" si="13"/>
        <v>3.0478152738149689</v>
      </c>
      <c r="AM10" s="76">
        <v>7.0494146420033079</v>
      </c>
      <c r="AN10" s="76">
        <v>0.77249580975616283</v>
      </c>
      <c r="AO10" s="76">
        <v>2.4684810982893786</v>
      </c>
      <c r="AP10" s="76">
        <f t="shared" si="14"/>
        <v>3.2409769080455413</v>
      </c>
      <c r="AQ10" s="89"/>
      <c r="AR10" s="31">
        <f t="shared" si="15"/>
        <v>3.1885211674371972</v>
      </c>
      <c r="AS10" s="76">
        <v>12.434304263822574</v>
      </c>
      <c r="AT10" s="76">
        <v>-0.42755990576433228</v>
      </c>
      <c r="AU10" s="76">
        <v>4.5847481138797939</v>
      </c>
      <c r="AV10" s="76">
        <f t="shared" si="16"/>
        <v>4.1571882081154614</v>
      </c>
      <c r="AW10" s="73" t="str">
        <f t="shared" si="17"/>
        <v>Food drink and tobacco</v>
      </c>
      <c r="AX10" s="31">
        <f t="shared" si="18"/>
        <v>2.5235241914950635</v>
      </c>
      <c r="AY10" s="11">
        <v>17.336358924907866</v>
      </c>
      <c r="AZ10" s="76">
        <v>-0.12728232767007444</v>
      </c>
      <c r="BA10" s="76">
        <v>4.9066304279196737</v>
      </c>
      <c r="BB10" s="76">
        <f t="shared" si="19"/>
        <v>4.7793481002495994</v>
      </c>
      <c r="BC10" s="76"/>
      <c r="BD10" s="31">
        <f t="shared" si="20"/>
        <v>2.4363702313833224</v>
      </c>
      <c r="BE10" s="76">
        <v>3.9959783673326772</v>
      </c>
      <c r="BF10" s="76">
        <v>-0.83348086360043461</v>
      </c>
      <c r="BG10" s="76">
        <v>1.0875463509002989</v>
      </c>
      <c r="BH10" s="76">
        <f t="shared" si="21"/>
        <v>0.25406548729986433</v>
      </c>
      <c r="BJ10" s="31">
        <f t="shared" si="22"/>
        <v>2.5027216432235821</v>
      </c>
      <c r="BK10" s="76">
        <v>10.073083832716854</v>
      </c>
      <c r="BL10" s="76">
        <v>1.512717786678091</v>
      </c>
      <c r="BM10" s="76">
        <v>2.8247393034036694</v>
      </c>
      <c r="BN10" s="76">
        <f t="shared" si="23"/>
        <v>4.3374570900817604</v>
      </c>
      <c r="BO10" s="89"/>
      <c r="BP10" s="31">
        <f t="shared" si="24"/>
        <v>2.6925252680388922</v>
      </c>
      <c r="BQ10" s="76">
        <v>3.2672967248583333</v>
      </c>
      <c r="BR10" s="76">
        <v>-0.80651925074773079</v>
      </c>
      <c r="BS10" s="76">
        <v>0.9943447736157055</v>
      </c>
      <c r="BT10" s="76">
        <f t="shared" si="25"/>
        <v>0.18782552286797471</v>
      </c>
      <c r="BU10" s="73" t="str">
        <f t="shared" si="26"/>
        <v>Food drink and tobacco</v>
      </c>
      <c r="BV10" s="31">
        <f t="shared" si="27"/>
        <v>2.2441836744385046</v>
      </c>
      <c r="BW10" s="11">
        <v>49.598564072912936</v>
      </c>
      <c r="BX10" s="76">
        <v>-3.6306790931946717</v>
      </c>
      <c r="BY10" s="76">
        <v>12.324896934512662</v>
      </c>
      <c r="BZ10" s="76">
        <f t="shared" si="28"/>
        <v>8.6942178413179896</v>
      </c>
      <c r="CA10" s="76"/>
      <c r="CB10" s="31">
        <f t="shared" si="29"/>
        <v>2.1888664422200721</v>
      </c>
      <c r="CC10" s="76">
        <v>19.525240563492041</v>
      </c>
      <c r="CD10" s="76">
        <v>-4.8301674544914821</v>
      </c>
      <c r="CE10" s="76">
        <v>4.7203188998071877</v>
      </c>
      <c r="CF10" s="76">
        <f t="shared" si="30"/>
        <v>-0.10984855468429444</v>
      </c>
      <c r="CH10" s="31">
        <f t="shared" si="31"/>
        <v>2.2613705769742198</v>
      </c>
      <c r="CI10" s="76">
        <v>26.537310513901321</v>
      </c>
      <c r="CJ10" s="76">
        <v>0.90730570853380754</v>
      </c>
      <c r="CK10" s="76">
        <v>6.6500717395964477</v>
      </c>
      <c r="CL10" s="76">
        <f t="shared" si="32"/>
        <v>7.5573774481302554</v>
      </c>
      <c r="CM10" s="89"/>
      <c r="CN10" s="31">
        <f t="shared" si="33"/>
        <v>2.4184670868230285</v>
      </c>
      <c r="CO10" s="76">
        <v>3.5360129955195734</v>
      </c>
      <c r="CP10" s="76">
        <v>0.29218265276300265</v>
      </c>
      <c r="CQ10" s="76">
        <v>0.95450629510902829</v>
      </c>
      <c r="CR10" s="76">
        <f t="shared" si="34"/>
        <v>1.2466889478720309</v>
      </c>
      <c r="CS10" s="73" t="str">
        <f t="shared" si="35"/>
        <v>Food drink and tobacco</v>
      </c>
      <c r="CT10" s="31">
        <f t="shared" si="36"/>
        <v>2.2228446109720412</v>
      </c>
      <c r="CU10" s="11">
        <v>6.7676511290073389</v>
      </c>
      <c r="CV10" s="76">
        <v>-1.5185369537284803</v>
      </c>
      <c r="CW10" s="76">
        <v>1.6640962090734628</v>
      </c>
      <c r="CX10" s="76">
        <f t="shared" si="37"/>
        <v>0.14555925534498249</v>
      </c>
      <c r="CY10" s="76"/>
      <c r="CZ10" s="31">
        <f t="shared" si="38"/>
        <v>2.2373089799467394</v>
      </c>
      <c r="DA10" s="76">
        <v>3.1774628801532612</v>
      </c>
      <c r="DB10" s="76">
        <v>-1.0231804476855118</v>
      </c>
      <c r="DC10" s="76">
        <v>0.78691079287571253</v>
      </c>
      <c r="DD10" s="76">
        <f t="shared" si="39"/>
        <v>-0.23626965480979922</v>
      </c>
      <c r="DF10" s="31">
        <f t="shared" si="40"/>
        <v>2.2136668085149358</v>
      </c>
      <c r="DG10" s="76">
        <v>3.3636113929465901</v>
      </c>
      <c r="DH10" s="76">
        <v>-0.48151424654816377</v>
      </c>
      <c r="DI10" s="76">
        <v>0.82331666906411805</v>
      </c>
      <c r="DJ10" s="76">
        <f t="shared" si="41"/>
        <v>0.34180242251595427</v>
      </c>
      <c r="DK10" s="89"/>
      <c r="DL10" s="31">
        <f t="shared" si="42"/>
        <v>2.1558658032539757</v>
      </c>
      <c r="DM10" s="76">
        <v>0.22657685590748641</v>
      </c>
      <c r="DN10" s="76">
        <v>-1.3842259494804953E-2</v>
      </c>
      <c r="DO10" s="76">
        <v>5.3868747133632294E-2</v>
      </c>
      <c r="DP10" s="76">
        <f t="shared" si="43"/>
        <v>4.0026487638827338E-2</v>
      </c>
    </row>
    <row r="11" spans="1:120">
      <c r="A11" s="73" t="str">
        <f>name!B7</f>
        <v>Engineering</v>
      </c>
      <c r="B11" s="31">
        <f t="shared" si="1"/>
        <v>2.3974240716110096</v>
      </c>
      <c r="C11" s="11">
        <v>26.682999999999964</v>
      </c>
      <c r="D11" s="76">
        <v>2.1359999999999681</v>
      </c>
      <c r="E11" s="76">
        <v>7.1332131341977885</v>
      </c>
      <c r="F11" s="76">
        <f t="shared" si="2"/>
        <v>9.2692131341977557</v>
      </c>
      <c r="G11" s="76"/>
      <c r="H11" s="31">
        <f t="shared" si="3"/>
        <v>2.1428388473321736</v>
      </c>
      <c r="I11" s="76">
        <v>7.7290127378228242</v>
      </c>
      <c r="J11" s="76">
        <v>-0.85964814638885922</v>
      </c>
      <c r="K11" s="76">
        <v>1.8253838239565419</v>
      </c>
      <c r="L11" s="76">
        <f t="shared" si="4"/>
        <v>0.96573567756768264</v>
      </c>
      <c r="N11" s="31">
        <f t="shared" si="5"/>
        <v>2.2704847424125818</v>
      </c>
      <c r="O11" s="76">
        <v>12.694060205112665</v>
      </c>
      <c r="P11" s="76">
        <v>1.750762648197131</v>
      </c>
      <c r="Q11" s="76">
        <v>3.1952007619921963</v>
      </c>
      <c r="R11" s="76">
        <f t="shared" si="6"/>
        <v>4.9459634101893268</v>
      </c>
      <c r="S11" s="89"/>
      <c r="T11" s="31">
        <f t="shared" si="7"/>
        <v>2.9505987528880562</v>
      </c>
      <c r="U11" s="76">
        <v>6.2599270570644734</v>
      </c>
      <c r="V11" s="76">
        <v>1.2448854981916966</v>
      </c>
      <c r="W11" s="76">
        <v>2.112628548249051</v>
      </c>
      <c r="X11" s="76">
        <f t="shared" si="8"/>
        <v>3.3575140464407474</v>
      </c>
      <c r="Y11" s="73" t="str">
        <f t="shared" si="0"/>
        <v>Engineering</v>
      </c>
      <c r="Z11" s="31">
        <f t="shared" si="9"/>
        <v>2.9893837262348733</v>
      </c>
      <c r="AA11" s="11">
        <v>6.5504971882441936</v>
      </c>
      <c r="AB11" s="76">
        <v>0.7414598842641813</v>
      </c>
      <c r="AC11" s="76">
        <v>2.243753846340574</v>
      </c>
      <c r="AD11" s="76">
        <f t="shared" si="10"/>
        <v>2.9852137306047553</v>
      </c>
      <c r="AE11" s="76"/>
      <c r="AF11" s="31">
        <f t="shared" si="11"/>
        <v>2.6484123810696314</v>
      </c>
      <c r="AG11" s="76">
        <v>0.62605054755772271</v>
      </c>
      <c r="AH11" s="76">
        <v>-4.0708044204614172E-2</v>
      </c>
      <c r="AI11" s="76">
        <v>0.18702662236296508</v>
      </c>
      <c r="AJ11" s="76">
        <f t="shared" si="12"/>
        <v>0.14631857815835092</v>
      </c>
      <c r="AL11" s="31">
        <f t="shared" si="13"/>
        <v>2.8200029669356086</v>
      </c>
      <c r="AM11" s="76">
        <v>1.9725323922654858</v>
      </c>
      <c r="AN11" s="76">
        <v>5.7186726837409781E-2</v>
      </c>
      <c r="AO11" s="76">
        <v>0.63242284192617815</v>
      </c>
      <c r="AP11" s="76">
        <f t="shared" si="14"/>
        <v>0.68960956876358792</v>
      </c>
      <c r="AQ11" s="89"/>
      <c r="AR11" s="31">
        <f t="shared" si="15"/>
        <v>3.1257074628290971</v>
      </c>
      <c r="AS11" s="76">
        <v>3.9519142484209846</v>
      </c>
      <c r="AT11" s="76">
        <v>0.72498120163138557</v>
      </c>
      <c r="AU11" s="76">
        <v>1.4243043820514307</v>
      </c>
      <c r="AV11" s="76">
        <f t="shared" si="16"/>
        <v>2.1492855836828162</v>
      </c>
      <c r="AW11" s="73" t="str">
        <f t="shared" si="17"/>
        <v>Engineering</v>
      </c>
      <c r="AX11" s="31">
        <f t="shared" si="18"/>
        <v>2.6610076636430335</v>
      </c>
      <c r="AY11" s="11">
        <v>3.2443503982662985</v>
      </c>
      <c r="AZ11" s="76">
        <v>0.14772454699359541</v>
      </c>
      <c r="BA11" s="76">
        <v>0.97439173559588765</v>
      </c>
      <c r="BB11" s="76">
        <f t="shared" si="19"/>
        <v>1.122116282589483</v>
      </c>
      <c r="BC11" s="76"/>
      <c r="BD11" s="31">
        <f t="shared" si="20"/>
        <v>2.5177966298219889</v>
      </c>
      <c r="BE11" s="76">
        <v>0.76061810370622518</v>
      </c>
      <c r="BF11" s="76">
        <v>-8.6613615501482388E-2</v>
      </c>
      <c r="BG11" s="76">
        <v>0.21472921204151713</v>
      </c>
      <c r="BH11" s="76">
        <f t="shared" si="21"/>
        <v>0.12811559654003474</v>
      </c>
      <c r="BJ11" s="31">
        <f t="shared" si="22"/>
        <v>2.6414518363808703</v>
      </c>
      <c r="BK11" s="76">
        <v>1.3612202522776553</v>
      </c>
      <c r="BL11" s="76">
        <v>-9.1457270541903425E-3</v>
      </c>
      <c r="BM11" s="76">
        <v>0.40545313032121294</v>
      </c>
      <c r="BN11" s="76">
        <f t="shared" si="23"/>
        <v>0.39630740326702257</v>
      </c>
      <c r="BO11" s="89"/>
      <c r="BP11" s="31">
        <f t="shared" si="24"/>
        <v>2.7805073211446985</v>
      </c>
      <c r="BQ11" s="76">
        <v>1.122512042282418</v>
      </c>
      <c r="BR11" s="76">
        <v>0.24348388954926817</v>
      </c>
      <c r="BS11" s="76">
        <v>0.35420939323315764</v>
      </c>
      <c r="BT11" s="76">
        <f t="shared" si="25"/>
        <v>0.59769328278242584</v>
      </c>
      <c r="BU11" s="73" t="str">
        <f t="shared" si="26"/>
        <v>Engineering</v>
      </c>
      <c r="BV11" s="31">
        <f t="shared" si="27"/>
        <v>2.0986442989320508</v>
      </c>
      <c r="BW11" s="11">
        <v>15.307841962071205</v>
      </c>
      <c r="BX11" s="76">
        <v>0.41022057712335003</v>
      </c>
      <c r="BY11" s="76">
        <v>3.5335820893340286</v>
      </c>
      <c r="BZ11" s="76">
        <f t="shared" si="28"/>
        <v>3.9438026664573789</v>
      </c>
      <c r="CA11" s="76"/>
      <c r="CB11" s="31">
        <f t="shared" si="29"/>
        <v>2.0210770566263747</v>
      </c>
      <c r="CC11" s="76">
        <v>5.8033468392667986</v>
      </c>
      <c r="CD11" s="76">
        <v>-0.34664652297871712</v>
      </c>
      <c r="CE11" s="76">
        <v>1.2855322454287512</v>
      </c>
      <c r="CF11" s="76">
        <f t="shared" si="30"/>
        <v>0.9388857224500341</v>
      </c>
      <c r="CH11" s="31">
        <f t="shared" si="31"/>
        <v>2.0955416811876404</v>
      </c>
      <c r="CI11" s="76">
        <v>8.3881190579667813</v>
      </c>
      <c r="CJ11" s="76">
        <v>0.46878350843430538</v>
      </c>
      <c r="CK11" s="76">
        <v>1.9331324937867693</v>
      </c>
      <c r="CL11" s="76">
        <f t="shared" si="32"/>
        <v>2.4019160022210748</v>
      </c>
      <c r="CM11" s="89"/>
      <c r="CN11" s="31">
        <f t="shared" si="33"/>
        <v>2.5160385347847258</v>
      </c>
      <c r="CO11" s="76">
        <v>1.1163760648376253</v>
      </c>
      <c r="CP11" s="76">
        <v>0.28808359166776182</v>
      </c>
      <c r="CQ11" s="76">
        <v>0.31491735011850813</v>
      </c>
      <c r="CR11" s="76">
        <f t="shared" si="34"/>
        <v>0.60300094178626995</v>
      </c>
      <c r="CS11" s="73" t="str">
        <f t="shared" si="35"/>
        <v>Engineering</v>
      </c>
      <c r="CT11" s="31">
        <f t="shared" si="36"/>
        <v>2.1859392974191483</v>
      </c>
      <c r="CU11" s="11">
        <v>1.5803104514182647</v>
      </c>
      <c r="CV11" s="76">
        <v>0.83659499161884154</v>
      </c>
      <c r="CW11" s="76">
        <v>0.38148546292729896</v>
      </c>
      <c r="CX11" s="76">
        <f t="shared" si="37"/>
        <v>1.2180804545461406</v>
      </c>
      <c r="CY11" s="76"/>
      <c r="CZ11" s="31">
        <f t="shared" si="38"/>
        <v>2.307194889511166</v>
      </c>
      <c r="DA11" s="76">
        <v>0.53899724729207821</v>
      </c>
      <c r="DB11" s="76">
        <v>-0.3856799637040455</v>
      </c>
      <c r="DC11" s="76">
        <v>0.13809574412330866</v>
      </c>
      <c r="DD11" s="76">
        <f t="shared" si="39"/>
        <v>-0.24758421958073684</v>
      </c>
      <c r="DF11" s="31">
        <f t="shared" si="40"/>
        <v>2.0967447677556317</v>
      </c>
      <c r="DG11" s="76">
        <v>0.97218850260274148</v>
      </c>
      <c r="DH11" s="76">
        <v>1.2339381399796061</v>
      </c>
      <c r="DI11" s="76">
        <v>0.22419229595803594</v>
      </c>
      <c r="DJ11" s="76">
        <f t="shared" si="41"/>
        <v>1.4581304359376421</v>
      </c>
      <c r="DK11" s="89"/>
      <c r="DL11" s="31">
        <f t="shared" si="42"/>
        <v>2.4810635165479544</v>
      </c>
      <c r="DM11" s="76">
        <v>6.9124701523444784E-2</v>
      </c>
      <c r="DN11" s="76">
        <v>-1.1663184656719028E-2</v>
      </c>
      <c r="DO11" s="76">
        <v>1.9197422845954378E-2</v>
      </c>
      <c r="DP11" s="76">
        <f t="shared" si="43"/>
        <v>7.53423818923535E-3</v>
      </c>
    </row>
    <row r="12" spans="1:120">
      <c r="A12" s="73" t="str">
        <f>name!B8</f>
        <v>Rest of manufacturing</v>
      </c>
      <c r="B12" s="31">
        <f t="shared" si="1"/>
        <v>2.6164350010096316</v>
      </c>
      <c r="C12" s="11">
        <v>42.15199999999993</v>
      </c>
      <c r="D12" s="76">
        <v>-3.3299999999999712</v>
      </c>
      <c r="E12" s="76">
        <v>12.422204390941479</v>
      </c>
      <c r="F12" s="76">
        <f t="shared" si="2"/>
        <v>9.0922043909415073</v>
      </c>
      <c r="G12" s="76"/>
      <c r="H12" s="31">
        <f t="shared" si="3"/>
        <v>2.4469808961299799</v>
      </c>
      <c r="I12" s="76">
        <v>9.6089439679508644</v>
      </c>
      <c r="J12" s="76">
        <v>-2.1975561779706503</v>
      </c>
      <c r="K12" s="76">
        <v>2.6278403106316235</v>
      </c>
      <c r="L12" s="76">
        <f t="shared" si="4"/>
        <v>0.43028413266097321</v>
      </c>
      <c r="N12" s="31">
        <f t="shared" si="5"/>
        <v>2.5333579555699037</v>
      </c>
      <c r="O12" s="76">
        <v>22.575808590792999</v>
      </c>
      <c r="P12" s="76">
        <v>-0.95500589125711122</v>
      </c>
      <c r="Q12" s="76">
        <v>6.4173226387381153</v>
      </c>
      <c r="R12" s="76">
        <f t="shared" si="6"/>
        <v>5.4623167474810037</v>
      </c>
      <c r="S12" s="89"/>
      <c r="T12" s="31">
        <f t="shared" si="7"/>
        <v>2.9608263556274439</v>
      </c>
      <c r="U12" s="76">
        <v>9.9672474412560668</v>
      </c>
      <c r="V12" s="76">
        <v>-0.17743793077220946</v>
      </c>
      <c r="W12" s="76">
        <v>3.3770414415717394</v>
      </c>
      <c r="X12" s="76">
        <f t="shared" si="8"/>
        <v>3.19960351079953</v>
      </c>
      <c r="Y12" s="73" t="str">
        <f t="shared" si="0"/>
        <v>Rest of manufacturing</v>
      </c>
      <c r="Z12" s="31">
        <f t="shared" si="9"/>
        <v>2.9763942733826543</v>
      </c>
      <c r="AA12" s="11">
        <v>10.498945664126412</v>
      </c>
      <c r="AB12" s="76">
        <v>0.34529888283838883</v>
      </c>
      <c r="AC12" s="76">
        <v>3.5784558313106598</v>
      </c>
      <c r="AD12" s="76">
        <f t="shared" si="10"/>
        <v>3.9237547141490485</v>
      </c>
      <c r="AE12" s="76"/>
      <c r="AF12" s="31">
        <f t="shared" si="11"/>
        <v>2.7040649618628176</v>
      </c>
      <c r="AG12" s="76">
        <v>0.75816764967198691</v>
      </c>
      <c r="AH12" s="76">
        <v>-0.14426412804349217</v>
      </c>
      <c r="AI12" s="76">
        <v>0.23184690614128767</v>
      </c>
      <c r="AJ12" s="76">
        <f t="shared" si="12"/>
        <v>8.7582778097795494E-2</v>
      </c>
      <c r="AL12" s="31">
        <f t="shared" si="13"/>
        <v>2.8324908960291717</v>
      </c>
      <c r="AM12" s="76">
        <v>3.7458067354035878</v>
      </c>
      <c r="AN12" s="76">
        <v>-2.1430511128079324E-2</v>
      </c>
      <c r="AO12" s="76">
        <v>1.2069719734322446</v>
      </c>
      <c r="AP12" s="76">
        <f t="shared" si="14"/>
        <v>1.1855414623041653</v>
      </c>
      <c r="AQ12" s="89"/>
      <c r="AR12" s="31">
        <f t="shared" si="15"/>
        <v>3.0991188393576063</v>
      </c>
      <c r="AS12" s="76">
        <v>5.9949712790508363</v>
      </c>
      <c r="AT12" s="76">
        <v>0.51099352200996029</v>
      </c>
      <c r="AU12" s="76">
        <v>2.1396369517371276</v>
      </c>
      <c r="AV12" s="76">
        <f t="shared" si="16"/>
        <v>2.6506304737470878</v>
      </c>
      <c r="AW12" s="73" t="str">
        <f t="shared" si="17"/>
        <v>Rest of manufacturing</v>
      </c>
      <c r="AX12" s="31">
        <f t="shared" si="18"/>
        <v>2.667464938337738</v>
      </c>
      <c r="AY12" s="11">
        <v>4.3775371772570599</v>
      </c>
      <c r="AZ12" s="76">
        <v>-1.2645538867862174</v>
      </c>
      <c r="BA12" s="76">
        <v>1.3183086935944921</v>
      </c>
      <c r="BB12" s="76">
        <f t="shared" si="19"/>
        <v>5.3754806808274713E-2</v>
      </c>
      <c r="BC12" s="76"/>
      <c r="BD12" s="31">
        <f t="shared" si="20"/>
        <v>2.5806373974742502</v>
      </c>
      <c r="BE12" s="76">
        <v>0.50445012564800362</v>
      </c>
      <c r="BF12" s="76">
        <v>-0.13667993756951582</v>
      </c>
      <c r="BG12" s="76">
        <v>0.14638677364194702</v>
      </c>
      <c r="BH12" s="76">
        <f t="shared" si="21"/>
        <v>9.7068360724311964E-3</v>
      </c>
      <c r="BJ12" s="31">
        <f t="shared" si="22"/>
        <v>2.6049115123564892</v>
      </c>
      <c r="BK12" s="76">
        <v>2.2466979729709307</v>
      </c>
      <c r="BL12" s="76">
        <v>-0.58280055442252565</v>
      </c>
      <c r="BM12" s="76">
        <v>0.65883758800710124</v>
      </c>
      <c r="BN12" s="76">
        <f t="shared" si="23"/>
        <v>7.6037033584575586E-2</v>
      </c>
      <c r="BO12" s="89"/>
      <c r="BP12" s="31">
        <f t="shared" si="24"/>
        <v>2.779912687566588</v>
      </c>
      <c r="BQ12" s="76">
        <v>1.6263890786381248</v>
      </c>
      <c r="BR12" s="76">
        <v>-0.54507339479417605</v>
      </c>
      <c r="BS12" s="76">
        <v>0.51308433194544378</v>
      </c>
      <c r="BT12" s="76">
        <f t="shared" si="25"/>
        <v>-3.1989062848732264E-2</v>
      </c>
      <c r="BU12" s="73" t="str">
        <f t="shared" si="26"/>
        <v>Rest of manufacturing</v>
      </c>
      <c r="BV12" s="31">
        <f t="shared" si="27"/>
        <v>2.4731834060013336</v>
      </c>
      <c r="BW12" s="11">
        <v>26.112763020344723</v>
      </c>
      <c r="BX12" s="76">
        <v>-1.8174984546461121</v>
      </c>
      <c r="BY12" s="76">
        <v>7.2264319158956178</v>
      </c>
      <c r="BZ12" s="76">
        <f t="shared" si="28"/>
        <v>5.4089334612495055</v>
      </c>
      <c r="CA12" s="76"/>
      <c r="CB12" s="31">
        <f t="shared" si="29"/>
        <v>2.4168124747555364</v>
      </c>
      <c r="CC12" s="76">
        <v>7.7759473470029352</v>
      </c>
      <c r="CD12" s="76">
        <v>-1.7158164744931881</v>
      </c>
      <c r="CE12" s="76">
        <v>2.0974328886080462</v>
      </c>
      <c r="CF12" s="76">
        <f t="shared" si="30"/>
        <v>0.38161641411485814</v>
      </c>
      <c r="CH12" s="31">
        <f t="shared" si="31"/>
        <v>2.4638206980051702</v>
      </c>
      <c r="CI12" s="76">
        <v>16.01397145403611</v>
      </c>
      <c r="CJ12" s="76">
        <v>5.414488253187176E-2</v>
      </c>
      <c r="CK12" s="76">
        <v>4.4130248025048795</v>
      </c>
      <c r="CL12" s="76">
        <f t="shared" si="32"/>
        <v>4.467169685036751</v>
      </c>
      <c r="CM12" s="89"/>
      <c r="CN12" s="31">
        <f t="shared" si="33"/>
        <v>2.7231827177615964</v>
      </c>
      <c r="CO12" s="76">
        <v>2.3228442193056784</v>
      </c>
      <c r="CP12" s="76">
        <v>-0.15582686268479601</v>
      </c>
      <c r="CQ12" s="76">
        <v>0.71597422478269179</v>
      </c>
      <c r="CR12" s="76">
        <f t="shared" si="34"/>
        <v>0.56014736209789584</v>
      </c>
      <c r="CS12" s="73" t="str">
        <f t="shared" si="35"/>
        <v>Rest of manufacturing</v>
      </c>
      <c r="CT12" s="31">
        <f t="shared" si="36"/>
        <v>2.3148990339762587</v>
      </c>
      <c r="CU12" s="11">
        <v>1.1627541382717359</v>
      </c>
      <c r="CV12" s="76">
        <v>-0.59324654140603028</v>
      </c>
      <c r="CW12" s="76">
        <v>0.2990079501407093</v>
      </c>
      <c r="CX12" s="76">
        <f t="shared" si="37"/>
        <v>-0.29423859126532098</v>
      </c>
      <c r="CY12" s="76"/>
      <c r="CZ12" s="31">
        <f t="shared" si="38"/>
        <v>2.3930795875785948</v>
      </c>
      <c r="DA12" s="76">
        <v>0.57037884562794017</v>
      </c>
      <c r="DB12" s="76">
        <v>-0.20079563786445448</v>
      </c>
      <c r="DC12" s="76">
        <v>0.15217374224034305</v>
      </c>
      <c r="DD12" s="76">
        <f t="shared" si="39"/>
        <v>-4.8621895624111428E-2</v>
      </c>
      <c r="DF12" s="31">
        <f t="shared" si="40"/>
        <v>2.201138550303483</v>
      </c>
      <c r="DG12" s="76">
        <v>0.56933242838237019</v>
      </c>
      <c r="DH12" s="76">
        <v>-0.40491970823837808</v>
      </c>
      <c r="DI12" s="76">
        <v>0.13848827479389025</v>
      </c>
      <c r="DJ12" s="76">
        <f t="shared" si="41"/>
        <v>-0.26643143344448783</v>
      </c>
      <c r="DK12" s="89"/>
      <c r="DL12" s="31">
        <f t="shared" si="42"/>
        <v>3.1392149650770529</v>
      </c>
      <c r="DM12" s="76">
        <v>2.3042864261425509E-2</v>
      </c>
      <c r="DN12" s="76">
        <v>1.2468804696802241E-2</v>
      </c>
      <c r="DO12" s="76">
        <v>8.3459331064760084E-3</v>
      </c>
      <c r="DP12" s="76">
        <f t="shared" si="43"/>
        <v>2.0814737803278249E-2</v>
      </c>
    </row>
    <row r="13" spans="1:120">
      <c r="A13" s="73" t="str">
        <f>name!B9</f>
        <v>Electricity and gas</v>
      </c>
      <c r="B13" s="31">
        <f t="shared" si="1"/>
        <v>2.751547529508569</v>
      </c>
      <c r="C13" s="11">
        <v>5.0589999999999913</v>
      </c>
      <c r="D13" s="76">
        <v>2.0489999999999946</v>
      </c>
      <c r="E13" s="76">
        <v>1.5776420433154477</v>
      </c>
      <c r="F13" s="76">
        <f t="shared" si="2"/>
        <v>3.6266420433154423</v>
      </c>
      <c r="G13" s="76"/>
      <c r="H13" s="31">
        <f t="shared" si="3"/>
        <v>2.5733600826927994</v>
      </c>
      <c r="I13" s="76">
        <v>0.31361419735656709</v>
      </c>
      <c r="J13" s="76">
        <v>7.8773033073184756E-2</v>
      </c>
      <c r="K13" s="76">
        <v>9.0720990468516644E-2</v>
      </c>
      <c r="L13" s="76">
        <f t="shared" si="4"/>
        <v>0.1694940235417014</v>
      </c>
      <c r="N13" s="31">
        <f t="shared" si="5"/>
        <v>2.5323926518590278</v>
      </c>
      <c r="O13" s="76">
        <v>1.1279969424904663</v>
      </c>
      <c r="P13" s="76">
        <v>0.17361487914005555</v>
      </c>
      <c r="Q13" s="76">
        <v>0.32050420132079388</v>
      </c>
      <c r="R13" s="76">
        <f t="shared" si="6"/>
        <v>0.4941190804608494</v>
      </c>
      <c r="S13" s="89"/>
      <c r="T13" s="31">
        <f t="shared" si="7"/>
        <v>2.8342615174113073</v>
      </c>
      <c r="U13" s="76">
        <v>3.6173888601529574</v>
      </c>
      <c r="V13" s="76">
        <v>1.7966120877867537</v>
      </c>
      <c r="W13" s="76">
        <v>1.1664168515261377</v>
      </c>
      <c r="X13" s="76">
        <f t="shared" si="8"/>
        <v>2.9630289393128915</v>
      </c>
      <c r="Y13" s="73" t="str">
        <f t="shared" si="0"/>
        <v>Electricity and gas</v>
      </c>
      <c r="Z13" s="31">
        <f t="shared" si="9"/>
        <v>2.8458192992028453</v>
      </c>
      <c r="AA13" s="11">
        <v>3.4150679378844369</v>
      </c>
      <c r="AB13" s="76">
        <v>1.4840300025780557</v>
      </c>
      <c r="AC13" s="76">
        <v>1.1062575228637768</v>
      </c>
      <c r="AD13" s="76">
        <f t="shared" si="10"/>
        <v>2.5902875254418323</v>
      </c>
      <c r="AE13" s="76"/>
      <c r="AF13" s="31">
        <f t="shared" si="11"/>
        <v>2.7430555154363878</v>
      </c>
      <c r="AG13" s="76">
        <v>0.11612647673624334</v>
      </c>
      <c r="AH13" s="76">
        <v>0.11035323287716786</v>
      </c>
      <c r="AI13" s="76">
        <v>3.6088022100809053E-2</v>
      </c>
      <c r="AJ13" s="76">
        <f t="shared" si="12"/>
        <v>0.14644125497797691</v>
      </c>
      <c r="AL13" s="31">
        <f t="shared" si="13"/>
        <v>2.6040221070196878</v>
      </c>
      <c r="AM13" s="76">
        <v>0.78807550212350175</v>
      </c>
      <c r="AN13" s="76">
        <v>0.1640515512066609</v>
      </c>
      <c r="AO13" s="76">
        <v>0.23101248718210923</v>
      </c>
      <c r="AP13" s="76">
        <f t="shared" si="14"/>
        <v>0.39506403838877013</v>
      </c>
      <c r="AQ13" s="89"/>
      <c r="AR13" s="31">
        <f t="shared" si="15"/>
        <v>2.9253673336995467</v>
      </c>
      <c r="AS13" s="76">
        <v>2.510865959024692</v>
      </c>
      <c r="AT13" s="76">
        <v>1.2096252184942269</v>
      </c>
      <c r="AU13" s="76">
        <v>0.83915701358085859</v>
      </c>
      <c r="AV13" s="76">
        <f t="shared" si="16"/>
        <v>2.0487822320750855</v>
      </c>
      <c r="AW13" s="73" t="str">
        <f t="shared" si="17"/>
        <v>Electricity and gas</v>
      </c>
      <c r="AX13" s="31">
        <f t="shared" si="18"/>
        <v>2.7527088286745105</v>
      </c>
      <c r="AY13" s="11">
        <v>0.957602688269793</v>
      </c>
      <c r="AZ13" s="76">
        <v>0.25026458116444267</v>
      </c>
      <c r="BA13" s="76">
        <v>0.29876903958455009</v>
      </c>
      <c r="BB13" s="76">
        <f t="shared" si="19"/>
        <v>0.54903362074899276</v>
      </c>
      <c r="BC13" s="76"/>
      <c r="BD13" s="31">
        <f t="shared" si="20"/>
        <v>2.6027440742423469</v>
      </c>
      <c r="BE13" s="76">
        <v>6.6675648433861312E-2</v>
      </c>
      <c r="BF13" s="76">
        <v>1.2223965695389253E-2</v>
      </c>
      <c r="BG13" s="76">
        <v>1.953422506429308E-2</v>
      </c>
      <c r="BH13" s="76">
        <f t="shared" si="21"/>
        <v>3.1758190759682337E-2</v>
      </c>
      <c r="BJ13" s="31">
        <f t="shared" si="22"/>
        <v>2.595302754086215</v>
      </c>
      <c r="BK13" s="76">
        <v>0.10025366029317774</v>
      </c>
      <c r="BL13" s="76">
        <v>-4.2143802914000279E-2</v>
      </c>
      <c r="BM13" s="76">
        <v>2.9277725477586596E-2</v>
      </c>
      <c r="BN13" s="76">
        <f t="shared" si="23"/>
        <v>-1.2866077436413683E-2</v>
      </c>
      <c r="BO13" s="89"/>
      <c r="BP13" s="31">
        <f t="shared" si="24"/>
        <v>2.7850477621075731</v>
      </c>
      <c r="BQ13" s="76">
        <v>0.79067337954275396</v>
      </c>
      <c r="BR13" s="76">
        <v>0.28018441838305369</v>
      </c>
      <c r="BS13" s="76">
        <v>0.24995708904267042</v>
      </c>
      <c r="BT13" s="76">
        <f t="shared" si="25"/>
        <v>0.53014150742572408</v>
      </c>
      <c r="BU13" s="73" t="str">
        <f t="shared" si="26"/>
        <v>Electricity and gas</v>
      </c>
      <c r="BV13" s="31">
        <f t="shared" si="27"/>
        <v>2.30166568848158</v>
      </c>
      <c r="BW13" s="11">
        <v>0.58372112403374876</v>
      </c>
      <c r="BX13" s="76">
        <v>0.29400518186205293</v>
      </c>
      <c r="BY13" s="76">
        <v>0.14915818412575702</v>
      </c>
      <c r="BZ13" s="76">
        <f t="shared" si="28"/>
        <v>0.44316336598780992</v>
      </c>
      <c r="CA13" s="76"/>
      <c r="CB13" s="31">
        <f t="shared" si="29"/>
        <v>2.5209593858770862</v>
      </c>
      <c r="CC13" s="76">
        <v>7.9538399802440748E-2</v>
      </c>
      <c r="CD13" s="76">
        <v>-3.8996824091237468E-2</v>
      </c>
      <c r="CE13" s="76">
        <v>2.2485863083774052E-2</v>
      </c>
      <c r="CF13" s="76">
        <f t="shared" si="30"/>
        <v>-1.6510961007463416E-2</v>
      </c>
      <c r="CH13" s="31">
        <f t="shared" si="31"/>
        <v>2.2948013168675008</v>
      </c>
      <c r="CI13" s="76">
        <v>0.22333516849225249</v>
      </c>
      <c r="CJ13" s="76">
        <v>4.7374479843118752E-2</v>
      </c>
      <c r="CK13" s="76">
        <v>5.6880714680897067E-2</v>
      </c>
      <c r="CL13" s="76">
        <f t="shared" si="32"/>
        <v>0.10425519452401583</v>
      </c>
      <c r="CM13" s="89"/>
      <c r="CN13" s="31">
        <f t="shared" si="33"/>
        <v>2.2442696745849977</v>
      </c>
      <c r="CO13" s="76">
        <v>0.28084755573905562</v>
      </c>
      <c r="CP13" s="76">
        <v>0.28562752611017167</v>
      </c>
      <c r="CQ13" s="76">
        <v>6.9791606361085889E-2</v>
      </c>
      <c r="CR13" s="76">
        <f t="shared" si="34"/>
        <v>0.35541913247125756</v>
      </c>
      <c r="CS13" s="73" t="str">
        <f t="shared" si="35"/>
        <v>Electricity and gas</v>
      </c>
      <c r="CT13" s="31">
        <f t="shared" si="36"/>
        <v>2.0801766936642485</v>
      </c>
      <c r="CU13" s="11">
        <v>0.10260824981201205</v>
      </c>
      <c r="CV13" s="76">
        <v>2.0700234395443017E-2</v>
      </c>
      <c r="CW13" s="76">
        <v>2.3457296741363907E-2</v>
      </c>
      <c r="CX13" s="76">
        <f t="shared" si="37"/>
        <v>4.4157531136806927E-2</v>
      </c>
      <c r="CY13" s="76"/>
      <c r="CZ13" s="31">
        <f t="shared" si="38"/>
        <v>2.2236780417191238</v>
      </c>
      <c r="DA13" s="76">
        <v>5.1273672384021723E-2</v>
      </c>
      <c r="DB13" s="76">
        <v>-4.8073414081348711E-3</v>
      </c>
      <c r="DC13" s="76">
        <v>1.2612880219640452E-2</v>
      </c>
      <c r="DD13" s="76">
        <f t="shared" si="39"/>
        <v>7.8055388115055805E-3</v>
      </c>
      <c r="DF13" s="31">
        <f t="shared" si="40"/>
        <v>1.8745697006633089</v>
      </c>
      <c r="DG13" s="76">
        <v>1.6332611581534422E-2</v>
      </c>
      <c r="DH13" s="76">
        <v>4.3326510042762225E-3</v>
      </c>
      <c r="DI13" s="76">
        <v>3.3332739802009429E-3</v>
      </c>
      <c r="DJ13" s="76">
        <f t="shared" si="41"/>
        <v>7.6659249844771658E-3</v>
      </c>
      <c r="DK13" s="89"/>
      <c r="DL13" s="31">
        <f t="shared" si="42"/>
        <v>1.9631026785993377</v>
      </c>
      <c r="DM13" s="76">
        <v>3.5001965846455901E-2</v>
      </c>
      <c r="DN13" s="76">
        <v>2.1174924799301664E-2</v>
      </c>
      <c r="DO13" s="76">
        <v>7.5111425415225128E-3</v>
      </c>
      <c r="DP13" s="76">
        <f t="shared" si="43"/>
        <v>2.8686067340824177E-2</v>
      </c>
    </row>
    <row r="14" spans="1:120">
      <c r="A14" s="73" t="str">
        <f>name!B10</f>
        <v>Water and sewerage</v>
      </c>
      <c r="B14" s="31">
        <f t="shared" si="1"/>
        <v>2.6630267727114409</v>
      </c>
      <c r="C14" s="11">
        <v>34.689999999999941</v>
      </c>
      <c r="D14" s="76">
        <v>3.4039999999999937</v>
      </c>
      <c r="E14" s="76">
        <v>10.427491197200341</v>
      </c>
      <c r="F14" s="76">
        <f t="shared" si="2"/>
        <v>13.831491197200336</v>
      </c>
      <c r="G14" s="76"/>
      <c r="H14" s="31">
        <f t="shared" si="3"/>
        <v>2.3746340922261355</v>
      </c>
      <c r="I14" s="76">
        <v>2.9582746497764263</v>
      </c>
      <c r="J14" s="76">
        <v>-1.2426718264022578</v>
      </c>
      <c r="K14" s="76">
        <v>0.78250491573356684</v>
      </c>
      <c r="L14" s="76">
        <f t="shared" si="4"/>
        <v>-0.46016691066869098</v>
      </c>
      <c r="N14" s="31">
        <f t="shared" si="5"/>
        <v>2.45146859998846</v>
      </c>
      <c r="O14" s="76">
        <v>15.931406757331569</v>
      </c>
      <c r="P14" s="76">
        <v>2.6141692288467828</v>
      </c>
      <c r="Q14" s="76">
        <v>4.3657875010183442</v>
      </c>
      <c r="R14" s="76">
        <f t="shared" si="6"/>
        <v>6.9799567298651271</v>
      </c>
      <c r="S14" s="89"/>
      <c r="T14" s="31">
        <f t="shared" si="7"/>
        <v>2.9246696914869474</v>
      </c>
      <c r="U14" s="76">
        <v>15.800318592891939</v>
      </c>
      <c r="V14" s="76">
        <v>2.0325025975554691</v>
      </c>
      <c r="W14" s="76">
        <v>5.2791987804484268</v>
      </c>
      <c r="X14" s="76">
        <f t="shared" si="8"/>
        <v>7.311701378003896</v>
      </c>
      <c r="Y14" s="73" t="str">
        <f t="shared" si="0"/>
        <v>Water and sewerage</v>
      </c>
      <c r="Z14" s="31">
        <f t="shared" si="9"/>
        <v>2.8935452968317898</v>
      </c>
      <c r="AA14" s="11">
        <v>20.179018387941738</v>
      </c>
      <c r="AB14" s="76">
        <v>3.7043393079638052</v>
      </c>
      <c r="AC14" s="76">
        <v>6.6609099076503337</v>
      </c>
      <c r="AD14" s="76">
        <f t="shared" si="10"/>
        <v>10.365249215614138</v>
      </c>
      <c r="AE14" s="76"/>
      <c r="AF14" s="31">
        <f t="shared" si="11"/>
        <v>2.7725711511966233</v>
      </c>
      <c r="AG14" s="76">
        <v>0.72465647374450293</v>
      </c>
      <c r="AH14" s="76">
        <v>-0.21196589918901296</v>
      </c>
      <c r="AI14" s="76">
        <v>0.227929964406863</v>
      </c>
      <c r="AJ14" s="76">
        <f t="shared" si="12"/>
        <v>1.5964065217850043E-2</v>
      </c>
      <c r="AL14" s="31">
        <f t="shared" si="13"/>
        <v>2.6836776039042443</v>
      </c>
      <c r="AM14" s="76">
        <v>7.1689586080821419</v>
      </c>
      <c r="AN14" s="76">
        <v>1.9626686993660245</v>
      </c>
      <c r="AO14" s="76">
        <v>2.1736943685039085</v>
      </c>
      <c r="AP14" s="76">
        <f t="shared" si="14"/>
        <v>4.136363067869933</v>
      </c>
      <c r="AQ14" s="89"/>
      <c r="AR14" s="31">
        <f t="shared" si="15"/>
        <v>3.0212745785094253</v>
      </c>
      <c r="AS14" s="76">
        <v>12.285403306115091</v>
      </c>
      <c r="AT14" s="76">
        <v>1.9536365077867941</v>
      </c>
      <c r="AU14" s="76">
        <v>4.2592855747395628</v>
      </c>
      <c r="AV14" s="76">
        <f t="shared" si="16"/>
        <v>6.2129220825263571</v>
      </c>
      <c r="AW14" s="73" t="str">
        <f t="shared" si="17"/>
        <v>Water and sewerage</v>
      </c>
      <c r="AX14" s="31">
        <f t="shared" si="18"/>
        <v>2.6934634376716282</v>
      </c>
      <c r="AY14" s="11">
        <v>3.8772019161776843</v>
      </c>
      <c r="AZ14" s="76">
        <v>-0.76962711358062519</v>
      </c>
      <c r="BA14" s="76">
        <v>1.1804208080754564</v>
      </c>
      <c r="BB14" s="76">
        <f t="shared" si="19"/>
        <v>0.41079369449483116</v>
      </c>
      <c r="BC14" s="76"/>
      <c r="BD14" s="31">
        <f t="shared" si="20"/>
        <v>2.5916879181504093</v>
      </c>
      <c r="BE14" s="76">
        <v>0.39518397605304539</v>
      </c>
      <c r="BF14" s="76">
        <v>-0.11728323585066727</v>
      </c>
      <c r="BG14" s="76">
        <v>0.11522826186981429</v>
      </c>
      <c r="BH14" s="76">
        <f t="shared" si="21"/>
        <v>-2.0549739808529838E-3</v>
      </c>
      <c r="BJ14" s="31">
        <f t="shared" si="22"/>
        <v>2.6108631762737033</v>
      </c>
      <c r="BK14" s="76">
        <v>1.6388021332720251</v>
      </c>
      <c r="BL14" s="76">
        <v>-0.45140915346675231</v>
      </c>
      <c r="BM14" s="76">
        <v>0.48180359544498619</v>
      </c>
      <c r="BN14" s="76">
        <f t="shared" si="23"/>
        <v>3.0394441978233877E-2</v>
      </c>
      <c r="BO14" s="89"/>
      <c r="BP14" s="31">
        <f t="shared" si="24"/>
        <v>2.7879692353027563</v>
      </c>
      <c r="BQ14" s="76">
        <v>1.8432158068526141</v>
      </c>
      <c r="BR14" s="76">
        <v>-0.20093472426320558</v>
      </c>
      <c r="BS14" s="76">
        <v>0.58338895076065578</v>
      </c>
      <c r="BT14" s="76">
        <f t="shared" si="25"/>
        <v>0.3824542264974502</v>
      </c>
      <c r="BU14" s="73" t="str">
        <f t="shared" si="26"/>
        <v>Water and sewerage</v>
      </c>
      <c r="BV14" s="31">
        <f t="shared" si="27"/>
        <v>2.1639959971873068</v>
      </c>
      <c r="BW14" s="11">
        <v>9.217599475239167</v>
      </c>
      <c r="BX14" s="76">
        <v>0.61442646269312895</v>
      </c>
      <c r="BY14" s="76">
        <v>2.2005716372862962</v>
      </c>
      <c r="BZ14" s="76">
        <f t="shared" si="28"/>
        <v>2.8149980999794253</v>
      </c>
      <c r="CA14" s="76"/>
      <c r="CB14" s="31">
        <f t="shared" si="29"/>
        <v>2.1322524388695197</v>
      </c>
      <c r="CC14" s="76">
        <v>1.3746236467462931</v>
      </c>
      <c r="CD14" s="76">
        <v>-0.6797332330802186</v>
      </c>
      <c r="CE14" s="76">
        <v>0.32288857798608317</v>
      </c>
      <c r="CF14" s="76">
        <f t="shared" si="30"/>
        <v>-0.35684465509413543</v>
      </c>
      <c r="CH14" s="31">
        <f t="shared" si="31"/>
        <v>2.1183476609150542</v>
      </c>
      <c r="CI14" s="76">
        <v>6.2987020393754678</v>
      </c>
      <c r="CJ14" s="76">
        <v>1.0586789669999686</v>
      </c>
      <c r="CK14" s="76">
        <v>1.4689337630531381</v>
      </c>
      <c r="CL14" s="76">
        <f t="shared" si="32"/>
        <v>2.5276127300531064</v>
      </c>
      <c r="CM14" s="89"/>
      <c r="CN14" s="31">
        <f t="shared" si="33"/>
        <v>2.3760355283215739</v>
      </c>
      <c r="CO14" s="76">
        <v>1.5442737891174063</v>
      </c>
      <c r="CP14" s="76">
        <v>0.23548072877337922</v>
      </c>
      <c r="CQ14" s="76">
        <v>0.40874929624707479</v>
      </c>
      <c r="CR14" s="76">
        <f t="shared" si="34"/>
        <v>0.64423002502045401</v>
      </c>
      <c r="CS14" s="73" t="str">
        <f t="shared" si="35"/>
        <v>Water and sewerage</v>
      </c>
      <c r="CT14" s="31">
        <f t="shared" si="36"/>
        <v>2.4372851811505392</v>
      </c>
      <c r="CU14" s="11">
        <v>1.4161802206413483</v>
      </c>
      <c r="CV14" s="76">
        <v>-0.14513865707631529</v>
      </c>
      <c r="CW14" s="76">
        <v>0.38558884418825223</v>
      </c>
      <c r="CX14" s="76">
        <f t="shared" si="37"/>
        <v>0.24045018711193694</v>
      </c>
      <c r="CY14" s="76"/>
      <c r="CZ14" s="31">
        <f t="shared" si="38"/>
        <v>2.2654301118374853</v>
      </c>
      <c r="DA14" s="76">
        <v>0.46381055323258502</v>
      </c>
      <c r="DB14" s="76">
        <v>-0.23368945828235915</v>
      </c>
      <c r="DC14" s="76">
        <v>0.11645811147080638</v>
      </c>
      <c r="DD14" s="76">
        <f t="shared" si="39"/>
        <v>-0.11723134681155277</v>
      </c>
      <c r="DF14" s="31">
        <f t="shared" si="40"/>
        <v>2.5995569001085794</v>
      </c>
      <c r="DG14" s="76">
        <v>0.82494397660193552</v>
      </c>
      <c r="DH14" s="76">
        <v>4.4230715947542278E-2</v>
      </c>
      <c r="DI14" s="76">
        <v>0.24135577401631172</v>
      </c>
      <c r="DJ14" s="76">
        <f t="shared" si="41"/>
        <v>0.285586489963854</v>
      </c>
      <c r="DK14" s="89"/>
      <c r="DL14" s="31">
        <f t="shared" si="42"/>
        <v>1.9914236116268524</v>
      </c>
      <c r="DM14" s="76">
        <v>0.12742569080682786</v>
      </c>
      <c r="DN14" s="76">
        <v>4.4320085258501563E-2</v>
      </c>
      <c r="DO14" s="76">
        <v>2.7774958701134087E-2</v>
      </c>
      <c r="DP14" s="76">
        <f t="shared" si="43"/>
        <v>7.2095043959635646E-2</v>
      </c>
    </row>
    <row r="15" spans="1:120">
      <c r="A15" s="73" t="str">
        <f>name!B11</f>
        <v>Construction</v>
      </c>
      <c r="B15" s="31">
        <f t="shared" si="1"/>
        <v>2.6332713124259444</v>
      </c>
      <c r="C15" s="11">
        <v>24.70699999999993</v>
      </c>
      <c r="D15" s="76">
        <v>2.4850000000000203</v>
      </c>
      <c r="E15" s="76">
        <v>7.3336805968811847</v>
      </c>
      <c r="F15" s="76">
        <f t="shared" si="2"/>
        <v>9.8186805968812045</v>
      </c>
      <c r="G15" s="76"/>
      <c r="H15" s="31">
        <f t="shared" si="3"/>
        <v>2.4423074235861542</v>
      </c>
      <c r="I15" s="76">
        <v>2.0674298031287628</v>
      </c>
      <c r="J15" s="76">
        <v>-0.8828890757342569</v>
      </c>
      <c r="K15" s="76">
        <v>0.56419694936710085</v>
      </c>
      <c r="L15" s="76">
        <f t="shared" si="4"/>
        <v>-0.31869212636715605</v>
      </c>
      <c r="N15" s="31">
        <f t="shared" si="5"/>
        <v>2.3615173214244889</v>
      </c>
      <c r="O15" s="76">
        <v>11.395959885205716</v>
      </c>
      <c r="P15" s="76">
        <v>1.9703829749125323</v>
      </c>
      <c r="Q15" s="76">
        <v>2.9959377256495925</v>
      </c>
      <c r="R15" s="76">
        <f t="shared" si="6"/>
        <v>4.9663207005621253</v>
      </c>
      <c r="S15" s="89"/>
      <c r="T15" s="31">
        <f t="shared" si="7"/>
        <v>2.9362141326216173</v>
      </c>
      <c r="U15" s="76">
        <v>11.243610311665455</v>
      </c>
      <c r="V15" s="76">
        <v>1.3975061008217451</v>
      </c>
      <c r="W15" s="76">
        <v>3.7735459218644927</v>
      </c>
      <c r="X15" s="76">
        <f t="shared" si="8"/>
        <v>5.1710520226862382</v>
      </c>
      <c r="Y15" s="73" t="str">
        <f t="shared" si="0"/>
        <v>Construction</v>
      </c>
      <c r="Z15" s="31">
        <f t="shared" si="9"/>
        <v>2.9275517647755267</v>
      </c>
      <c r="AA15" s="11">
        <v>13.046434238680172</v>
      </c>
      <c r="AB15" s="76">
        <v>2.1329718598151204</v>
      </c>
      <c r="AC15" s="76">
        <v>4.3639460437985305</v>
      </c>
      <c r="AD15" s="76">
        <f t="shared" si="10"/>
        <v>6.4969179036136513</v>
      </c>
      <c r="AE15" s="76"/>
      <c r="AF15" s="31">
        <f t="shared" si="11"/>
        <v>2.9029598767563725</v>
      </c>
      <c r="AG15" s="76">
        <v>0.51780999831305174</v>
      </c>
      <c r="AH15" s="76">
        <v>-0.14508224440278034</v>
      </c>
      <c r="AI15" s="76">
        <v>0.17155479671456894</v>
      </c>
      <c r="AJ15" s="76">
        <f t="shared" si="12"/>
        <v>2.6472552311788605E-2</v>
      </c>
      <c r="AL15" s="31">
        <f t="shared" si="13"/>
        <v>2.7138731733564292</v>
      </c>
      <c r="AM15" s="76">
        <v>3.3696565084990735</v>
      </c>
      <c r="AN15" s="76">
        <v>0.87665708871403969</v>
      </c>
      <c r="AO15" s="76">
        <v>1.0346414621905302</v>
      </c>
      <c r="AP15" s="76">
        <f t="shared" si="14"/>
        <v>1.9112985509045699</v>
      </c>
      <c r="AQ15" s="89"/>
      <c r="AR15" s="31">
        <f t="shared" si="15"/>
        <v>3.0065508595138457</v>
      </c>
      <c r="AS15" s="76">
        <v>9.1589677318680476</v>
      </c>
      <c r="AT15" s="76">
        <v>1.4013970155038609</v>
      </c>
      <c r="AU15" s="76">
        <v>3.1577497848934315</v>
      </c>
      <c r="AV15" s="76">
        <f t="shared" si="16"/>
        <v>4.5591468003972926</v>
      </c>
      <c r="AW15" s="73" t="str">
        <f t="shared" si="17"/>
        <v>Construction</v>
      </c>
      <c r="AX15" s="31">
        <f t="shared" si="18"/>
        <v>2.6925526136312605</v>
      </c>
      <c r="AY15" s="11">
        <v>3.651919924567808</v>
      </c>
      <c r="AZ15" s="76">
        <v>-0.23040618198892773</v>
      </c>
      <c r="BA15" s="76">
        <v>1.1114108203418209</v>
      </c>
      <c r="BB15" s="76">
        <f t="shared" si="19"/>
        <v>0.88100463835289322</v>
      </c>
      <c r="BC15" s="76"/>
      <c r="BD15" s="31">
        <f t="shared" si="20"/>
        <v>2.6003566607783579</v>
      </c>
      <c r="BE15" s="76">
        <v>0.34954045938527362</v>
      </c>
      <c r="BF15" s="76">
        <v>-0.11400742632184735</v>
      </c>
      <c r="BG15" s="76">
        <v>0.10230108293418085</v>
      </c>
      <c r="BH15" s="76">
        <f t="shared" si="21"/>
        <v>-1.1706343387666504E-2</v>
      </c>
      <c r="BJ15" s="31">
        <f t="shared" si="22"/>
        <v>2.6391873139546718</v>
      </c>
      <c r="BK15" s="76">
        <v>2.0072722798125366</v>
      </c>
      <c r="BL15" s="76">
        <v>2.1946743765527334E-2</v>
      </c>
      <c r="BM15" s="76">
        <v>0.59731151369132662</v>
      </c>
      <c r="BN15" s="76">
        <f t="shared" si="23"/>
        <v>0.61925825745685392</v>
      </c>
      <c r="BO15" s="89"/>
      <c r="BP15" s="31">
        <f t="shared" si="24"/>
        <v>2.799351314050047</v>
      </c>
      <c r="BQ15" s="76">
        <v>1.2951071853699978</v>
      </c>
      <c r="BR15" s="76">
        <v>-0.13834549943260771</v>
      </c>
      <c r="BS15" s="76">
        <v>0.41179822371631336</v>
      </c>
      <c r="BT15" s="76">
        <f t="shared" si="25"/>
        <v>0.27345272428370565</v>
      </c>
      <c r="BU15" s="73" t="str">
        <f t="shared" si="26"/>
        <v>Construction</v>
      </c>
      <c r="BV15" s="31">
        <f t="shared" si="27"/>
        <v>2.0481137979190267</v>
      </c>
      <c r="BW15" s="11">
        <v>6.6723347132595512</v>
      </c>
      <c r="BX15" s="76">
        <v>0.63046525507421236</v>
      </c>
      <c r="BY15" s="76">
        <v>1.4996518315416651</v>
      </c>
      <c r="BZ15" s="76">
        <f t="shared" si="28"/>
        <v>2.1301170866158774</v>
      </c>
      <c r="CA15" s="76"/>
      <c r="CB15" s="31">
        <f t="shared" si="29"/>
        <v>1.885726525584519</v>
      </c>
      <c r="CC15" s="76">
        <v>0.79401322796632245</v>
      </c>
      <c r="CD15" s="76">
        <v>-0.42251424724113457</v>
      </c>
      <c r="CE15" s="76">
        <v>0.16309534060812603</v>
      </c>
      <c r="CF15" s="76">
        <f t="shared" si="30"/>
        <v>-0.25941890663300854</v>
      </c>
      <c r="CH15" s="31">
        <f t="shared" si="31"/>
        <v>2.0349710354922612</v>
      </c>
      <c r="CI15" s="76">
        <v>5.1117136268203991</v>
      </c>
      <c r="CJ15" s="76">
        <v>0.94026718064231962</v>
      </c>
      <c r="CK15" s="76">
        <v>1.1408334558665532</v>
      </c>
      <c r="CL15" s="76">
        <f t="shared" si="32"/>
        <v>2.0811006365088729</v>
      </c>
      <c r="CM15" s="89"/>
      <c r="CN15" s="31">
        <f t="shared" si="33"/>
        <v>2.2998780793422213</v>
      </c>
      <c r="CO15" s="76">
        <v>0.7666078584728292</v>
      </c>
      <c r="CP15" s="76">
        <v>0.11271232167302715</v>
      </c>
      <c r="CQ15" s="76">
        <v>0.19572303506698607</v>
      </c>
      <c r="CR15" s="76">
        <f t="shared" si="34"/>
        <v>0.30843535674001321</v>
      </c>
      <c r="CS15" s="73" t="str">
        <f t="shared" si="35"/>
        <v>Construction</v>
      </c>
      <c r="CT15" s="31">
        <f t="shared" si="36"/>
        <v>2.406088217429958</v>
      </c>
      <c r="CU15" s="11">
        <v>1.3363111234924001</v>
      </c>
      <c r="CV15" s="76">
        <v>-4.8030932900384203E-2</v>
      </c>
      <c r="CW15" s="76">
        <v>0.3586719011991692</v>
      </c>
      <c r="CX15" s="76">
        <f t="shared" si="37"/>
        <v>0.31064096829878501</v>
      </c>
      <c r="CY15" s="76"/>
      <c r="CZ15" s="31">
        <f t="shared" si="38"/>
        <v>2.7633959791856677</v>
      </c>
      <c r="DA15" s="76">
        <v>0.40606611746411458</v>
      </c>
      <c r="DB15" s="76">
        <v>-0.20128515776849468</v>
      </c>
      <c r="DC15" s="76">
        <v>0.12724572911022497</v>
      </c>
      <c r="DD15" s="76">
        <f t="shared" si="39"/>
        <v>-7.4039428658269707E-2</v>
      </c>
      <c r="DF15" s="31">
        <f t="shared" si="40"/>
        <v>2.2233076528841211</v>
      </c>
      <c r="DG15" s="76">
        <v>0.90731747007370689</v>
      </c>
      <c r="DH15" s="76">
        <v>0.1315119617906455</v>
      </c>
      <c r="DI15" s="76">
        <v>0.22315129390118218</v>
      </c>
      <c r="DJ15" s="76">
        <f t="shared" si="41"/>
        <v>0.35466325569182766</v>
      </c>
      <c r="DK15" s="89"/>
      <c r="DL15" s="31">
        <f t="shared" si="42"/>
        <v>3.1295401767871711</v>
      </c>
      <c r="DM15" s="76">
        <v>2.2927535954578668E-2</v>
      </c>
      <c r="DN15" s="76">
        <v>2.174226307746498E-2</v>
      </c>
      <c r="DO15" s="76">
        <v>8.2748781877620605E-3</v>
      </c>
      <c r="DP15" s="76">
        <f t="shared" si="43"/>
        <v>3.0017141265227039E-2</v>
      </c>
    </row>
    <row r="16" spans="1:120">
      <c r="A16" s="73" t="str">
        <f>name!B12</f>
        <v>Wholesale and retail trade</v>
      </c>
      <c r="B16" s="31">
        <f t="shared" si="1"/>
        <v>2.48357468355489</v>
      </c>
      <c r="C16" s="11">
        <v>49.360999999999891</v>
      </c>
      <c r="D16" s="76">
        <v>-3.0089999999999963</v>
      </c>
      <c r="E16" s="76">
        <v>13.724072101712224</v>
      </c>
      <c r="F16" s="76">
        <f t="shared" si="2"/>
        <v>10.715072101712227</v>
      </c>
      <c r="G16" s="76"/>
      <c r="H16" s="31">
        <f t="shared" si="3"/>
        <v>2.319061330483807</v>
      </c>
      <c r="I16" s="76">
        <v>11.754763181562106</v>
      </c>
      <c r="J16" s="76">
        <v>-3.3383043230730345</v>
      </c>
      <c r="K16" s="76">
        <v>3.0288080072024135</v>
      </c>
      <c r="L16" s="76">
        <f t="shared" si="4"/>
        <v>-0.30949631587062099</v>
      </c>
      <c r="N16" s="31">
        <f t="shared" si="5"/>
        <v>2.3679923975928441</v>
      </c>
      <c r="O16" s="76">
        <v>27.464527750604109</v>
      </c>
      <c r="P16" s="76">
        <v>1.036637643813106</v>
      </c>
      <c r="Q16" s="76">
        <v>7.242226228936425</v>
      </c>
      <c r="R16" s="76">
        <f t="shared" si="6"/>
        <v>8.2788638727495307</v>
      </c>
      <c r="S16" s="89"/>
      <c r="T16" s="31">
        <f t="shared" si="7"/>
        <v>2.9736241479119574</v>
      </c>
      <c r="U16" s="76">
        <v>10.141709067833677</v>
      </c>
      <c r="V16" s="76">
        <v>-0.70733332074006794</v>
      </c>
      <c r="W16" s="76">
        <v>3.4530378655733838</v>
      </c>
      <c r="X16" s="76">
        <f t="shared" si="8"/>
        <v>2.7457045448333157</v>
      </c>
      <c r="Y16" s="73" t="str">
        <f t="shared" si="0"/>
        <v>Wholesale and retail trade</v>
      </c>
      <c r="Z16" s="31">
        <f t="shared" si="9"/>
        <v>2.9998517165961136</v>
      </c>
      <c r="AA16" s="11">
        <v>14.421904529312432</v>
      </c>
      <c r="AB16" s="76">
        <v>-7.9946079548302407E-2</v>
      </c>
      <c r="AC16" s="76">
        <v>4.9596501612339017</v>
      </c>
      <c r="AD16" s="76">
        <f t="shared" si="10"/>
        <v>4.879704081685599</v>
      </c>
      <c r="AE16" s="76"/>
      <c r="AF16" s="31">
        <f t="shared" si="11"/>
        <v>2.9265331251565607</v>
      </c>
      <c r="AG16" s="76">
        <v>1.7446046239912303</v>
      </c>
      <c r="AH16" s="76">
        <v>-0.27919872461291689</v>
      </c>
      <c r="AI16" s="76">
        <v>0.58332831832535181</v>
      </c>
      <c r="AJ16" s="76">
        <f t="shared" si="12"/>
        <v>0.30412959371243492</v>
      </c>
      <c r="AL16" s="31">
        <f t="shared" si="13"/>
        <v>2.8733806306549425</v>
      </c>
      <c r="AM16" s="76">
        <v>5.4383562760409712</v>
      </c>
      <c r="AN16" s="76">
        <v>0.60778084248681408</v>
      </c>
      <c r="AO16" s="76">
        <v>1.780988355750744</v>
      </c>
      <c r="AP16" s="76">
        <f t="shared" si="14"/>
        <v>2.3887691982375578</v>
      </c>
      <c r="AQ16" s="89"/>
      <c r="AR16" s="31">
        <f t="shared" si="15"/>
        <v>3.111409774959073</v>
      </c>
      <c r="AS16" s="76">
        <v>7.2389436292802296</v>
      </c>
      <c r="AT16" s="76">
        <v>-0.40852819742219959</v>
      </c>
      <c r="AU16" s="76">
        <v>2.5953334871578053</v>
      </c>
      <c r="AV16" s="76">
        <f t="shared" si="16"/>
        <v>2.1868052897356058</v>
      </c>
      <c r="AW16" s="73" t="str">
        <f t="shared" si="17"/>
        <v>Wholesale and retail trade</v>
      </c>
      <c r="AX16" s="31">
        <f t="shared" si="18"/>
        <v>2.6838321004912791</v>
      </c>
      <c r="AY16" s="11">
        <v>4.7602092359720407</v>
      </c>
      <c r="AZ16" s="76">
        <v>-1.3205133909931142</v>
      </c>
      <c r="BA16" s="76">
        <v>1.4434326816980343</v>
      </c>
      <c r="BB16" s="76">
        <f t="shared" si="19"/>
        <v>0.12291929070492014</v>
      </c>
      <c r="BC16" s="76"/>
      <c r="BD16" s="31">
        <f t="shared" si="20"/>
        <v>2.6307138684356079</v>
      </c>
      <c r="BE16" s="76">
        <v>0.55533861181731692</v>
      </c>
      <c r="BF16" s="76">
        <v>-0.19194769411417067</v>
      </c>
      <c r="BG16" s="76">
        <v>0.16465951691361003</v>
      </c>
      <c r="BH16" s="76">
        <f t="shared" si="21"/>
        <v>-2.7288177200560648E-2</v>
      </c>
      <c r="BJ16" s="31">
        <f t="shared" si="22"/>
        <v>2.6257921936491346</v>
      </c>
      <c r="BK16" s="76">
        <v>2.4972687404973635</v>
      </c>
      <c r="BL16" s="76">
        <v>-0.56905832335257489</v>
      </c>
      <c r="BM16" s="76">
        <v>0.73889514198640793</v>
      </c>
      <c r="BN16" s="76">
        <f t="shared" si="23"/>
        <v>0.16983681863383304</v>
      </c>
      <c r="BO16" s="89"/>
      <c r="BP16" s="31">
        <f t="shared" si="24"/>
        <v>2.7852790413730899</v>
      </c>
      <c r="BQ16" s="76">
        <v>1.7076018836573603</v>
      </c>
      <c r="BR16" s="76">
        <v>-0.55950737352636859</v>
      </c>
      <c r="BS16" s="76">
        <v>0.53987802279801622</v>
      </c>
      <c r="BT16" s="76">
        <f t="shared" si="25"/>
        <v>-1.9629350728352368E-2</v>
      </c>
      <c r="BU16" s="73" t="str">
        <f t="shared" si="26"/>
        <v>Wholesale and retail trade</v>
      </c>
      <c r="BV16" s="31">
        <f t="shared" si="27"/>
        <v>2.1993314042800582</v>
      </c>
      <c r="BW16" s="11">
        <v>28.021593521784599</v>
      </c>
      <c r="BX16" s="76">
        <v>-1.4714034279099568</v>
      </c>
      <c r="BY16" s="76">
        <v>6.8100025319772302</v>
      </c>
      <c r="BZ16" s="76">
        <f t="shared" si="28"/>
        <v>5.3385991040672733</v>
      </c>
      <c r="CA16" s="76"/>
      <c r="CB16" s="31">
        <f t="shared" si="29"/>
        <v>2.1988160207137231</v>
      </c>
      <c r="CC16" s="76">
        <v>8.4984348827263929</v>
      </c>
      <c r="CD16" s="76">
        <v>-2.4130544809912187</v>
      </c>
      <c r="CE16" s="76">
        <v>2.0648160354020404</v>
      </c>
      <c r="CF16" s="76">
        <f t="shared" si="30"/>
        <v>-0.34823844558917827</v>
      </c>
      <c r="CH16" s="31">
        <f t="shared" si="31"/>
        <v>2.1891934571730776</v>
      </c>
      <c r="CI16" s="76">
        <v>18.363284813948471</v>
      </c>
      <c r="CJ16" s="76">
        <v>0.79472514229380931</v>
      </c>
      <c r="CK16" s="76">
        <v>4.4401403431475641</v>
      </c>
      <c r="CL16" s="76">
        <f t="shared" si="32"/>
        <v>5.2348654854413734</v>
      </c>
      <c r="CM16" s="89"/>
      <c r="CN16" s="31">
        <f t="shared" si="33"/>
        <v>2.3623659563032362</v>
      </c>
      <c r="CO16" s="76">
        <v>1.1598738251097345</v>
      </c>
      <c r="CP16" s="76">
        <v>0.14692591078745226</v>
      </c>
      <c r="CQ16" s="76">
        <v>0.30504615342762553</v>
      </c>
      <c r="CR16" s="76">
        <f t="shared" si="34"/>
        <v>0.4519720642150778</v>
      </c>
      <c r="CS16" s="73" t="str">
        <f t="shared" si="35"/>
        <v>Wholesale and retail trade</v>
      </c>
      <c r="CT16" s="31">
        <f t="shared" si="36"/>
        <v>2.1485540302156547</v>
      </c>
      <c r="CU16" s="11">
        <v>2.1572927129308224</v>
      </c>
      <c r="CV16" s="76">
        <v>-0.13713710154862277</v>
      </c>
      <c r="CW16" s="76">
        <v>0.51098672680305779</v>
      </c>
      <c r="CX16" s="76">
        <f t="shared" si="37"/>
        <v>0.37384962525443499</v>
      </c>
      <c r="CY16" s="76"/>
      <c r="CZ16" s="31">
        <f t="shared" si="38"/>
        <v>2.0572595476436195</v>
      </c>
      <c r="DA16" s="76">
        <v>0.95638506302716597</v>
      </c>
      <c r="DB16" s="76">
        <v>-0.4541034233547282</v>
      </c>
      <c r="DC16" s="76">
        <v>0.2160041365614109</v>
      </c>
      <c r="DD16" s="76">
        <f t="shared" si="39"/>
        <v>-0.23809928679331729</v>
      </c>
      <c r="DF16" s="31">
        <f t="shared" si="40"/>
        <v>2.1917519950891196</v>
      </c>
      <c r="DG16" s="76">
        <v>1.1656179201173043</v>
      </c>
      <c r="DH16" s="76">
        <v>0.20318998238505742</v>
      </c>
      <c r="DI16" s="76">
        <v>0.28220238805171</v>
      </c>
      <c r="DJ16" s="76">
        <f t="shared" si="41"/>
        <v>0.48539237043676742</v>
      </c>
      <c r="DK16" s="89"/>
      <c r="DL16" s="31">
        <f t="shared" si="42"/>
        <v>3.1389052752660129</v>
      </c>
      <c r="DM16" s="76">
        <v>3.5289729786351975E-2</v>
      </c>
      <c r="DN16" s="76">
        <v>0.11377633942104799</v>
      </c>
      <c r="DO16" s="76">
        <v>1.2780202189936939E-2</v>
      </c>
      <c r="DP16" s="76">
        <f t="shared" si="43"/>
        <v>0.12655654161098492</v>
      </c>
    </row>
    <row r="17" spans="1:120">
      <c r="A17" s="73" t="str">
        <f>name!B13</f>
        <v>Transport and storage</v>
      </c>
      <c r="B17" s="31">
        <f t="shared" si="1"/>
        <v>2.5826643707438812</v>
      </c>
      <c r="C17" s="11">
        <v>92.525231401581493</v>
      </c>
      <c r="D17" s="76">
        <v>4.8062010655220337</v>
      </c>
      <c r="E17" s="76">
        <v>26.873559144521298</v>
      </c>
      <c r="F17" s="76">
        <f t="shared" si="2"/>
        <v>31.679760210043334</v>
      </c>
      <c r="G17" s="76"/>
      <c r="H17" s="31">
        <f t="shared" si="3"/>
        <v>2.4248789617356659</v>
      </c>
      <c r="I17" s="76">
        <v>21.198729637120138</v>
      </c>
      <c r="J17" s="76">
        <v>-6.0725510822499817</v>
      </c>
      <c r="K17" s="76">
        <v>5.7392133920891153</v>
      </c>
      <c r="L17" s="76">
        <f t="shared" si="4"/>
        <v>-0.33333769016086645</v>
      </c>
      <c r="N17" s="31">
        <f t="shared" si="5"/>
        <v>2.5234952437853897</v>
      </c>
      <c r="O17" s="76">
        <v>52.658868908190932</v>
      </c>
      <c r="P17" s="76">
        <v>7.0048539847493405</v>
      </c>
      <c r="Q17" s="76">
        <v>14.903608217095815</v>
      </c>
      <c r="R17" s="76">
        <f t="shared" si="6"/>
        <v>21.908462201845154</v>
      </c>
      <c r="S17" s="89"/>
      <c r="T17" s="31">
        <f t="shared" si="7"/>
        <v>2.9219882284781784</v>
      </c>
      <c r="U17" s="76">
        <v>18.667632856270426</v>
      </c>
      <c r="V17" s="76">
        <v>3.8738981630226754</v>
      </c>
      <c r="W17" s="76">
        <v>6.230737535336365</v>
      </c>
      <c r="X17" s="76">
        <f t="shared" si="8"/>
        <v>10.10463569835904</v>
      </c>
      <c r="Y17" s="73" t="str">
        <f t="shared" si="0"/>
        <v>Transport and storage</v>
      </c>
      <c r="Z17" s="31">
        <f t="shared" si="9"/>
        <v>2.9241425329038728</v>
      </c>
      <c r="AA17" s="11">
        <v>29.870782206299452</v>
      </c>
      <c r="AB17" s="76">
        <v>4.3408339188767497</v>
      </c>
      <c r="AC17" s="76">
        <v>9.9783777687739459</v>
      </c>
      <c r="AD17" s="76">
        <f t="shared" si="10"/>
        <v>14.319211687650697</v>
      </c>
      <c r="AE17" s="76"/>
      <c r="AF17" s="31">
        <f t="shared" si="11"/>
        <v>2.7318686124567781</v>
      </c>
      <c r="AG17" s="76">
        <v>3.8081615228264192</v>
      </c>
      <c r="AH17" s="76">
        <v>-0.6689481531577417</v>
      </c>
      <c r="AI17" s="76">
        <v>1.1780102671881654</v>
      </c>
      <c r="AJ17" s="76">
        <f t="shared" si="12"/>
        <v>0.50906211403042367</v>
      </c>
      <c r="AL17" s="31">
        <f t="shared" si="13"/>
        <v>2.8609218734994002</v>
      </c>
      <c r="AM17" s="76">
        <v>13.572153033741255</v>
      </c>
      <c r="AN17" s="76">
        <v>3.0025944902352135</v>
      </c>
      <c r="AO17" s="76">
        <v>4.4228892241268012</v>
      </c>
      <c r="AP17" s="76">
        <f t="shared" si="14"/>
        <v>7.4254837143620147</v>
      </c>
      <c r="AQ17" s="89"/>
      <c r="AR17" s="31">
        <f t="shared" si="15"/>
        <v>3.0500840000298179</v>
      </c>
      <c r="AS17" s="76">
        <v>12.490467649731778</v>
      </c>
      <c r="AT17" s="76">
        <v>2.0071875817992777</v>
      </c>
      <c r="AU17" s="76">
        <v>4.3774782774589784</v>
      </c>
      <c r="AV17" s="76">
        <f t="shared" si="16"/>
        <v>6.3846658592582557</v>
      </c>
      <c r="AW17" s="73" t="str">
        <f t="shared" si="17"/>
        <v>Transport and storage</v>
      </c>
      <c r="AX17" s="31">
        <f t="shared" si="18"/>
        <v>2.6816272634551552</v>
      </c>
      <c r="AY17" s="11">
        <v>8.998417639409773</v>
      </c>
      <c r="AZ17" s="76">
        <v>0.46368333377022369</v>
      </c>
      <c r="BA17" s="76">
        <v>2.7260618724368122</v>
      </c>
      <c r="BB17" s="76">
        <f t="shared" si="19"/>
        <v>3.1897452062070357</v>
      </c>
      <c r="BC17" s="76"/>
      <c r="BD17" s="31">
        <f t="shared" si="20"/>
        <v>2.6174041078364407</v>
      </c>
      <c r="BE17" s="76">
        <v>1.0668407233699537</v>
      </c>
      <c r="BF17" s="76">
        <v>3.2513509332090844E-2</v>
      </c>
      <c r="BG17" s="76">
        <v>0.31452866341566049</v>
      </c>
      <c r="BH17" s="76">
        <f t="shared" si="21"/>
        <v>0.34704217274775134</v>
      </c>
      <c r="BJ17" s="31">
        <f t="shared" si="22"/>
        <v>2.6363264722116364</v>
      </c>
      <c r="BK17" s="76">
        <v>4.9047319312804847</v>
      </c>
      <c r="BL17" s="76">
        <v>0.14017890795839225</v>
      </c>
      <c r="BM17" s="76">
        <v>1.4577457375951082</v>
      </c>
      <c r="BN17" s="76">
        <f t="shared" si="23"/>
        <v>1.5979246455535003</v>
      </c>
      <c r="BO17" s="89"/>
      <c r="BP17" s="31">
        <f t="shared" si="24"/>
        <v>2.7770599340433355</v>
      </c>
      <c r="BQ17" s="76">
        <v>3.0268449847593342</v>
      </c>
      <c r="BR17" s="76">
        <v>0.29099091647974057</v>
      </c>
      <c r="BS17" s="76">
        <v>0.95378747142604337</v>
      </c>
      <c r="BT17" s="76">
        <f t="shared" si="25"/>
        <v>1.2447783879057839</v>
      </c>
      <c r="BU17" s="73" t="str">
        <f t="shared" si="26"/>
        <v>Transport and storage</v>
      </c>
      <c r="BV17" s="31">
        <f t="shared" si="27"/>
        <v>2.3754907319287089</v>
      </c>
      <c r="BW17" s="11">
        <v>50.110811503507264</v>
      </c>
      <c r="BX17" s="76">
        <v>0.37983071614327241</v>
      </c>
      <c r="BY17" s="76">
        <v>13.260311196398852</v>
      </c>
      <c r="BZ17" s="76">
        <f t="shared" si="28"/>
        <v>13.640141912542125</v>
      </c>
      <c r="CA17" s="76"/>
      <c r="CB17" s="31">
        <f t="shared" si="29"/>
        <v>2.3338534370635156</v>
      </c>
      <c r="CC17" s="76">
        <v>14.74166253806875</v>
      </c>
      <c r="CD17" s="76">
        <v>-4.5191002676533572</v>
      </c>
      <c r="CE17" s="76">
        <v>3.8252523053004484</v>
      </c>
      <c r="CF17" s="76">
        <f t="shared" si="30"/>
        <v>-0.6938479623529088</v>
      </c>
      <c r="CH17" s="31">
        <f t="shared" si="31"/>
        <v>2.3772663395688065</v>
      </c>
      <c r="CI17" s="76">
        <v>32.323025931939064</v>
      </c>
      <c r="CJ17" s="76">
        <v>3.459835793309614</v>
      </c>
      <c r="CK17" s="76">
        <v>8.5604017208804635</v>
      </c>
      <c r="CL17" s="76">
        <f t="shared" si="32"/>
        <v>12.020237514190077</v>
      </c>
      <c r="CM17" s="89"/>
      <c r="CN17" s="31">
        <f t="shared" si="33"/>
        <v>2.5563381424586806</v>
      </c>
      <c r="CO17" s="76">
        <v>3.0461230334994571</v>
      </c>
      <c r="CP17" s="76">
        <v>1.4390951904870155</v>
      </c>
      <c r="CQ17" s="76">
        <v>0.87465717021794065</v>
      </c>
      <c r="CR17" s="76">
        <f t="shared" si="34"/>
        <v>2.3137523607049562</v>
      </c>
      <c r="CS17" s="73" t="str">
        <f t="shared" si="35"/>
        <v>Transport and storage</v>
      </c>
      <c r="CT17" s="31">
        <f t="shared" si="36"/>
        <v>2.3083258626595438</v>
      </c>
      <c r="CU17" s="11">
        <v>3.5452200523650017</v>
      </c>
      <c r="CV17" s="76">
        <v>-0.37814690326821171</v>
      </c>
      <c r="CW17" s="76">
        <v>0.90880830691168701</v>
      </c>
      <c r="CX17" s="76">
        <f t="shared" si="37"/>
        <v>0.53066140364347536</v>
      </c>
      <c r="CY17" s="76"/>
      <c r="CZ17" s="31">
        <f t="shared" si="38"/>
        <v>2.3896892286912941</v>
      </c>
      <c r="DA17" s="76">
        <v>1.5820648528550136</v>
      </c>
      <c r="DB17" s="76">
        <v>-0.91701617077097408</v>
      </c>
      <c r="DC17" s="76">
        <v>0.42142215618484119</v>
      </c>
      <c r="DD17" s="76">
        <f t="shared" si="39"/>
        <v>-0.49559401458613289</v>
      </c>
      <c r="DF17" s="31">
        <f t="shared" si="40"/>
        <v>2.2469738978732945</v>
      </c>
      <c r="DG17" s="76">
        <v>1.8589580112301323</v>
      </c>
      <c r="DH17" s="76">
        <v>0.40224479324612111</v>
      </c>
      <c r="DI17" s="76">
        <v>0.4625715344934439</v>
      </c>
      <c r="DJ17" s="76">
        <f t="shared" si="41"/>
        <v>0.86481632773956507</v>
      </c>
      <c r="DK17" s="89"/>
      <c r="DL17" s="31">
        <f t="shared" si="42"/>
        <v>2.1591674565122787</v>
      </c>
      <c r="DM17" s="76">
        <v>0.10419718827985559</v>
      </c>
      <c r="DN17" s="76">
        <v>0.13662447425664134</v>
      </c>
      <c r="DO17" s="76">
        <v>2.4814616233402073E-2</v>
      </c>
      <c r="DP17" s="76">
        <f t="shared" si="43"/>
        <v>0.1614390904900434</v>
      </c>
    </row>
    <row r="18" spans="1:120">
      <c r="A18" s="73" t="str">
        <f>name!B14</f>
        <v>Accommodation and food</v>
      </c>
      <c r="B18" s="31">
        <f t="shared" si="1"/>
        <v>2.7290326750703198</v>
      </c>
      <c r="C18" s="11">
        <v>12.952999999999982</v>
      </c>
      <c r="D18" s="76">
        <v>0.38799999999999019</v>
      </c>
      <c r="E18" s="76">
        <v>4.0021779615326993</v>
      </c>
      <c r="F18" s="76">
        <f t="shared" si="2"/>
        <v>4.3901779615326895</v>
      </c>
      <c r="G18" s="76"/>
      <c r="H18" s="31">
        <f t="shared" si="3"/>
        <v>2.439043046528111</v>
      </c>
      <c r="I18" s="76">
        <v>0.98180011788807253</v>
      </c>
      <c r="J18" s="76">
        <v>-0.31823538887421476</v>
      </c>
      <c r="K18" s="76">
        <v>0.26753287063716108</v>
      </c>
      <c r="L18" s="76">
        <f t="shared" si="4"/>
        <v>-5.0702518237053684E-2</v>
      </c>
      <c r="N18" s="31">
        <f t="shared" si="5"/>
        <v>2.4753153877203893</v>
      </c>
      <c r="O18" s="76">
        <v>4.3897999117505364</v>
      </c>
      <c r="P18" s="76">
        <v>-3.3729018992914917E-3</v>
      </c>
      <c r="Q18" s="76">
        <v>1.2159970209281907</v>
      </c>
      <c r="R18" s="76">
        <f t="shared" si="6"/>
        <v>1.2126241190288993</v>
      </c>
      <c r="S18" s="89"/>
      <c r="T18" s="31">
        <f t="shared" si="7"/>
        <v>2.9099584906887133</v>
      </c>
      <c r="U18" s="76">
        <v>7.5813999703613737</v>
      </c>
      <c r="V18" s="76">
        <v>0.70960829077349641</v>
      </c>
      <c r="W18" s="76">
        <v>2.5186480699673486</v>
      </c>
      <c r="X18" s="76">
        <f t="shared" si="8"/>
        <v>3.2282563607408452</v>
      </c>
      <c r="Y18" s="73" t="str">
        <f t="shared" si="0"/>
        <v>Accommodation and food</v>
      </c>
      <c r="Z18" s="31">
        <f t="shared" si="9"/>
        <v>2.9001988046052141</v>
      </c>
      <c r="AA18" s="11">
        <v>8.41715005869405</v>
      </c>
      <c r="AB18" s="76">
        <v>1.2401845545007941</v>
      </c>
      <c r="AC18" s="76">
        <v>2.7856660704349108</v>
      </c>
      <c r="AD18" s="76">
        <f t="shared" si="10"/>
        <v>4.0258506249357051</v>
      </c>
      <c r="AE18" s="76"/>
      <c r="AF18" s="31">
        <f t="shared" si="11"/>
        <v>2.6294544068126147</v>
      </c>
      <c r="AG18" s="76">
        <v>0.26152951231038224</v>
      </c>
      <c r="AH18" s="76">
        <v>-4.5405475739936016E-2</v>
      </c>
      <c r="AI18" s="76">
        <v>7.7502654523601097E-2</v>
      </c>
      <c r="AJ18" s="76">
        <f t="shared" si="12"/>
        <v>3.2097178783665081E-2</v>
      </c>
      <c r="AL18" s="31">
        <f t="shared" si="13"/>
        <v>2.7712915947119443</v>
      </c>
      <c r="AM18" s="76">
        <v>1.603753842229815</v>
      </c>
      <c r="AN18" s="76">
        <v>0.37014463186933377</v>
      </c>
      <c r="AO18" s="76">
        <v>0.50417456272407901</v>
      </c>
      <c r="AP18" s="76">
        <f t="shared" si="14"/>
        <v>0.87431919459341279</v>
      </c>
      <c r="AQ18" s="89"/>
      <c r="AR18" s="31">
        <f t="shared" si="15"/>
        <v>2.9421782199993585</v>
      </c>
      <c r="AS18" s="76">
        <v>6.5518667041538512</v>
      </c>
      <c r="AT18" s="76">
        <v>0.91544539837139627</v>
      </c>
      <c r="AU18" s="76">
        <v>2.2039888531872305</v>
      </c>
      <c r="AV18" s="76">
        <f t="shared" si="16"/>
        <v>3.1194342515586269</v>
      </c>
      <c r="AW18" s="73" t="str">
        <f t="shared" si="17"/>
        <v>Accommodation and food</v>
      </c>
      <c r="AX18" s="31">
        <f t="shared" si="18"/>
        <v>2.6824624047876666</v>
      </c>
      <c r="AY18" s="11">
        <v>1.5529698962248977</v>
      </c>
      <c r="AZ18" s="76">
        <v>-0.46999464299830562</v>
      </c>
      <c r="BA18" s="76">
        <v>0.47063529840578655</v>
      </c>
      <c r="BB18" s="76">
        <f t="shared" si="19"/>
        <v>6.4065540748092786E-4</v>
      </c>
      <c r="BC18" s="76"/>
      <c r="BD18" s="31">
        <f t="shared" si="20"/>
        <v>2.5523204536911814</v>
      </c>
      <c r="BE18" s="76">
        <v>0.13614442022126955</v>
      </c>
      <c r="BF18" s="76">
        <v>-6.3296157131409597E-2</v>
      </c>
      <c r="BG18" s="76">
        <v>3.9023576340022549E-2</v>
      </c>
      <c r="BH18" s="76">
        <f t="shared" si="21"/>
        <v>-2.4272580791387048E-2</v>
      </c>
      <c r="BJ18" s="31">
        <f t="shared" si="22"/>
        <v>2.6286177015529599</v>
      </c>
      <c r="BK18" s="76">
        <v>0.68908932411816504</v>
      </c>
      <c r="BL18" s="76">
        <v>-0.20218556619821521</v>
      </c>
      <c r="BM18" s="76">
        <v>0.20413453714844726</v>
      </c>
      <c r="BN18" s="76">
        <f t="shared" si="23"/>
        <v>1.948970950232054E-3</v>
      </c>
      <c r="BO18" s="89"/>
      <c r="BP18" s="31">
        <f t="shared" si="24"/>
        <v>2.7572901368161595</v>
      </c>
      <c r="BQ18" s="76">
        <v>0.72773615188546292</v>
      </c>
      <c r="BR18" s="76">
        <v>-0.20451291966868082</v>
      </c>
      <c r="BS18" s="76">
        <v>0.22747718491731678</v>
      </c>
      <c r="BT18" s="76">
        <f t="shared" si="25"/>
        <v>2.2964265248635957E-2</v>
      </c>
      <c r="BU18" s="73" t="str">
        <f t="shared" si="26"/>
        <v>Accommodation and food</v>
      </c>
      <c r="BV18" s="31">
        <f t="shared" si="27"/>
        <v>2.2597619936791435</v>
      </c>
      <c r="BW18" s="11">
        <v>2.763662773835291</v>
      </c>
      <c r="BX18" s="76">
        <v>-0.23042163432403942</v>
      </c>
      <c r="BY18" s="76">
        <v>0.69201169643440363</v>
      </c>
      <c r="BZ18" s="76">
        <f t="shared" si="28"/>
        <v>0.46159006211036424</v>
      </c>
      <c r="CA18" s="76"/>
      <c r="CB18" s="31">
        <f t="shared" si="29"/>
        <v>2.2744187655870496</v>
      </c>
      <c r="CC18" s="76">
        <v>0.53420672462394658</v>
      </c>
      <c r="CD18" s="76">
        <v>-0.18314245506199275</v>
      </c>
      <c r="CE18" s="76">
        <v>0.13472154653176011</v>
      </c>
      <c r="CF18" s="76">
        <f t="shared" si="30"/>
        <v>-4.8420908530232648E-2</v>
      </c>
      <c r="CH18" s="31">
        <f t="shared" si="31"/>
        <v>2.2063029939758838</v>
      </c>
      <c r="CI18" s="76">
        <v>1.9276589348892854</v>
      </c>
      <c r="CJ18" s="76">
        <v>-4.5954991332827419E-2</v>
      </c>
      <c r="CK18" s="76">
        <v>0.47010811803984248</v>
      </c>
      <c r="CL18" s="76">
        <f t="shared" si="32"/>
        <v>0.42415312670701505</v>
      </c>
      <c r="CM18" s="89"/>
      <c r="CN18" s="31">
        <f t="shared" si="33"/>
        <v>2.5701813988873834</v>
      </c>
      <c r="CO18" s="76">
        <v>0.30179711432205908</v>
      </c>
      <c r="CP18" s="76">
        <v>-1.3241879292192368E-3</v>
      </c>
      <c r="CQ18" s="76">
        <v>8.7182031862801102E-2</v>
      </c>
      <c r="CR18" s="76">
        <f t="shared" si="34"/>
        <v>8.5857843933581868E-2</v>
      </c>
      <c r="CS18" s="73" t="str">
        <f t="shared" si="35"/>
        <v>Accommodation and food</v>
      </c>
      <c r="CT18" s="31">
        <f t="shared" si="36"/>
        <v>2.2214077027330692</v>
      </c>
      <c r="CU18" s="11">
        <v>0.21921727124574525</v>
      </c>
      <c r="CV18" s="76">
        <v>-0.15176827717845895</v>
      </c>
      <c r="CW18" s="76">
        <v>5.386489625759925E-2</v>
      </c>
      <c r="CX18" s="76">
        <f t="shared" si="37"/>
        <v>-9.7903380920859706E-2</v>
      </c>
      <c r="CY18" s="76"/>
      <c r="CZ18" s="31">
        <f t="shared" si="38"/>
        <v>2.8636185424038896</v>
      </c>
      <c r="DA18" s="76">
        <v>4.9919460732474302E-2</v>
      </c>
      <c r="DB18" s="76">
        <v>-2.6391300940876338E-2</v>
      </c>
      <c r="DC18" s="76">
        <v>1.6285093241777283E-2</v>
      </c>
      <c r="DD18" s="76">
        <f t="shared" si="39"/>
        <v>-1.0106207699099055E-2</v>
      </c>
      <c r="DF18" s="31">
        <f t="shared" si="40"/>
        <v>2.0249088908695478</v>
      </c>
      <c r="DG18" s="76">
        <v>0.16929781051327095</v>
      </c>
      <c r="DH18" s="76">
        <v>-0.12537697623758262</v>
      </c>
      <c r="DI18" s="76">
        <v>3.7579803015821964E-2</v>
      </c>
      <c r="DJ18" s="76">
        <f t="shared" si="41"/>
        <v>-8.7797173221760658E-2</v>
      </c>
      <c r="DK18" s="89"/>
      <c r="DL18" s="31">
        <f t="shared" si="42"/>
        <v>0</v>
      </c>
      <c r="DM18" s="76">
        <v>0</v>
      </c>
      <c r="DN18" s="76">
        <v>0</v>
      </c>
      <c r="DO18" s="76">
        <v>0</v>
      </c>
      <c r="DP18" s="76">
        <f t="shared" si="43"/>
        <v>0</v>
      </c>
    </row>
    <row r="19" spans="1:120">
      <c r="A19" s="73" t="str">
        <f>name!B15</f>
        <v>Media</v>
      </c>
      <c r="B19" s="31">
        <f t="shared" si="1"/>
        <v>2.650879874909351</v>
      </c>
      <c r="C19" s="11">
        <v>16.661999999999964</v>
      </c>
      <c r="D19" s="76">
        <v>-1.8919999999999957</v>
      </c>
      <c r="E19" s="76">
        <v>4.9828157385534926</v>
      </c>
      <c r="F19" s="76">
        <f t="shared" si="2"/>
        <v>3.0908157385534967</v>
      </c>
      <c r="G19" s="76"/>
      <c r="H19" s="31">
        <f t="shared" si="3"/>
        <v>2.421853726448564</v>
      </c>
      <c r="I19" s="76">
        <v>1.9434405643167627</v>
      </c>
      <c r="J19" s="76">
        <v>-0.90855133713639524</v>
      </c>
      <c r="K19" s="76">
        <v>0.52542579270375545</v>
      </c>
      <c r="L19" s="76">
        <f t="shared" si="4"/>
        <v>-0.3831255444326398</v>
      </c>
      <c r="N19" s="31">
        <f t="shared" si="5"/>
        <v>2.4061732586688978</v>
      </c>
      <c r="O19" s="76">
        <v>7.733476770699653</v>
      </c>
      <c r="P19" s="76">
        <v>-1.0294803032346584</v>
      </c>
      <c r="Q19" s="76">
        <v>2.0757813219951484</v>
      </c>
      <c r="R19" s="76">
        <f t="shared" si="6"/>
        <v>1.04630101876049</v>
      </c>
      <c r="S19" s="89"/>
      <c r="T19" s="31">
        <f t="shared" si="7"/>
        <v>2.9772916903296753</v>
      </c>
      <c r="U19" s="76">
        <v>6.9850826649835493</v>
      </c>
      <c r="V19" s="76">
        <v>4.6031640371057968E-2</v>
      </c>
      <c r="W19" s="76">
        <v>2.3816086238545888</v>
      </c>
      <c r="X19" s="76">
        <f t="shared" si="8"/>
        <v>2.4276402642256469</v>
      </c>
      <c r="Y19" s="73" t="str">
        <f t="shared" si="0"/>
        <v>Media</v>
      </c>
      <c r="Z19" s="31">
        <f t="shared" si="9"/>
        <v>2.9185657815322896</v>
      </c>
      <c r="AA19" s="11">
        <v>8.3794062941985281</v>
      </c>
      <c r="AB19" s="76">
        <v>-0.17587640052692693</v>
      </c>
      <c r="AC19" s="76">
        <v>2.7930973117040807</v>
      </c>
      <c r="AD19" s="76">
        <f t="shared" si="10"/>
        <v>2.6172209111771538</v>
      </c>
      <c r="AE19" s="76"/>
      <c r="AF19" s="31">
        <f t="shared" si="11"/>
        <v>2.7459576371490213</v>
      </c>
      <c r="AG19" s="76">
        <v>0.31243496317011898</v>
      </c>
      <c r="AH19" s="76">
        <v>-0.10738960201360218</v>
      </c>
      <c r="AI19" s="76">
        <v>9.7209482795084096E-2</v>
      </c>
      <c r="AJ19" s="76">
        <f t="shared" si="12"/>
        <v>-1.018011921851808E-2</v>
      </c>
      <c r="AL19" s="31">
        <f t="shared" si="13"/>
        <v>2.6372520747176109</v>
      </c>
      <c r="AM19" s="76">
        <v>2.000766979672798</v>
      </c>
      <c r="AN19" s="76">
        <v>-0.14537129206384908</v>
      </c>
      <c r="AO19" s="76">
        <v>0.59488625177063192</v>
      </c>
      <c r="AP19" s="76">
        <f t="shared" si="14"/>
        <v>0.44951495970678285</v>
      </c>
      <c r="AQ19" s="89"/>
      <c r="AR19" s="31">
        <f t="shared" si="15"/>
        <v>3.0186007978292295</v>
      </c>
      <c r="AS19" s="76">
        <v>6.0662043513556112</v>
      </c>
      <c r="AT19" s="76">
        <v>7.6884493550524291E-2</v>
      </c>
      <c r="AU19" s="76">
        <v>2.1010015771383648</v>
      </c>
      <c r="AV19" s="76">
        <f t="shared" si="16"/>
        <v>2.177886070688889</v>
      </c>
      <c r="AW19" s="73" t="str">
        <f t="shared" si="17"/>
        <v>Media</v>
      </c>
      <c r="AX19" s="31">
        <f t="shared" si="18"/>
        <v>2.6651859485115947</v>
      </c>
      <c r="AY19" s="11">
        <v>1.664971822536162</v>
      </c>
      <c r="AZ19" s="76">
        <v>-0.7022088254799439</v>
      </c>
      <c r="BA19" s="76">
        <v>0.50093050963156127</v>
      </c>
      <c r="BB19" s="76">
        <f t="shared" si="19"/>
        <v>-0.20127831584838263</v>
      </c>
      <c r="BC19" s="76"/>
      <c r="BD19" s="31">
        <f t="shared" si="20"/>
        <v>2.581820000482149</v>
      </c>
      <c r="BE19" s="76">
        <v>0.26372544688368038</v>
      </c>
      <c r="BF19" s="76">
        <v>-0.10831956062703628</v>
      </c>
      <c r="BG19" s="76">
        <v>7.6569920735424277E-2</v>
      </c>
      <c r="BH19" s="76">
        <f t="shared" si="21"/>
        <v>-3.1749639891612003E-2</v>
      </c>
      <c r="BJ19" s="31">
        <f t="shared" si="22"/>
        <v>2.6382225672916038</v>
      </c>
      <c r="BK19" s="76">
        <v>0.90622693590093328</v>
      </c>
      <c r="BL19" s="76">
        <v>-0.31112932759164502</v>
      </c>
      <c r="BM19" s="76">
        <v>0.26955881347514621</v>
      </c>
      <c r="BN19" s="76">
        <f t="shared" si="23"/>
        <v>-4.1570514116498813E-2</v>
      </c>
      <c r="BO19" s="89"/>
      <c r="BP19" s="31">
        <f t="shared" si="24"/>
        <v>2.7583597057282416</v>
      </c>
      <c r="BQ19" s="76">
        <v>0.4950194397515485</v>
      </c>
      <c r="BR19" s="76">
        <v>-0.28275993726126269</v>
      </c>
      <c r="BS19" s="76">
        <v>0.15480177542099077</v>
      </c>
      <c r="BT19" s="76">
        <f t="shared" si="25"/>
        <v>-0.12795816184027192</v>
      </c>
      <c r="BU19" s="73" t="str">
        <f t="shared" si="26"/>
        <v>Media</v>
      </c>
      <c r="BV19" s="31">
        <f t="shared" si="27"/>
        <v>2.301250253200271</v>
      </c>
      <c r="BW19" s="11">
        <v>5.9165033698801821</v>
      </c>
      <c r="BX19" s="76">
        <v>-1.0278366832146471</v>
      </c>
      <c r="BY19" s="76">
        <v>1.5115416978807021</v>
      </c>
      <c r="BZ19" s="76">
        <f t="shared" si="28"/>
        <v>0.48370501466605509</v>
      </c>
      <c r="CA19" s="76"/>
      <c r="CB19" s="31">
        <f t="shared" si="29"/>
        <v>2.3115008885774335</v>
      </c>
      <c r="CC19" s="76">
        <v>1.2498018824231734</v>
      </c>
      <c r="CD19" s="76">
        <v>-0.61465964280907215</v>
      </c>
      <c r="CE19" s="76">
        <v>0.32087094919664594</v>
      </c>
      <c r="CF19" s="76">
        <f t="shared" si="30"/>
        <v>-0.29378869361242621</v>
      </c>
      <c r="CH19" s="31">
        <f t="shared" si="31"/>
        <v>2.2668844506140928</v>
      </c>
      <c r="CI19" s="76">
        <v>4.2539717403366248</v>
      </c>
      <c r="CJ19" s="76">
        <v>-0.61145217832122922</v>
      </c>
      <c r="CK19" s="76">
        <v>1.0688859433031883</v>
      </c>
      <c r="CL19" s="76">
        <f t="shared" si="32"/>
        <v>0.45743376498195909</v>
      </c>
      <c r="CM19" s="89"/>
      <c r="CN19" s="31">
        <f t="shared" si="33"/>
        <v>2.6193775887513038</v>
      </c>
      <c r="CO19" s="76">
        <v>0.41272974712038374</v>
      </c>
      <c r="CP19" s="76">
        <v>0.19827513791565432</v>
      </c>
      <c r="CQ19" s="76">
        <v>0.12178480538086794</v>
      </c>
      <c r="CR19" s="76">
        <f t="shared" si="34"/>
        <v>0.32005994329652226</v>
      </c>
      <c r="CS19" s="73" t="str">
        <f t="shared" si="35"/>
        <v>Media</v>
      </c>
      <c r="CT19" s="31">
        <f t="shared" si="36"/>
        <v>2.2794409399427673</v>
      </c>
      <c r="CU19" s="11">
        <v>0.70111851338509235</v>
      </c>
      <c r="CV19" s="76">
        <v>1.3921909221522149E-2</v>
      </c>
      <c r="CW19" s="76">
        <v>0.17724621933714907</v>
      </c>
      <c r="CX19" s="76">
        <f t="shared" si="37"/>
        <v>0.19116812855867121</v>
      </c>
      <c r="CY19" s="76"/>
      <c r="CZ19" s="31">
        <f t="shared" si="38"/>
        <v>2.3539960057005649</v>
      </c>
      <c r="DA19" s="76">
        <v>0.11747827183979</v>
      </c>
      <c r="DB19" s="76">
        <v>-7.8182531686684584E-2</v>
      </c>
      <c r="DC19" s="76">
        <v>3.0775439976601052E-2</v>
      </c>
      <c r="DD19" s="76">
        <f t="shared" si="39"/>
        <v>-4.7407091710083532E-2</v>
      </c>
      <c r="DF19" s="31">
        <f t="shared" si="40"/>
        <v>2.2468339355165234</v>
      </c>
      <c r="DG19" s="76">
        <v>0.57251111478929684</v>
      </c>
      <c r="DH19" s="76">
        <v>3.8472494742064697E-2</v>
      </c>
      <c r="DI19" s="76">
        <v>0.14245031344618231</v>
      </c>
      <c r="DJ19" s="76">
        <f t="shared" si="41"/>
        <v>0.18092280818824702</v>
      </c>
      <c r="DK19" s="89"/>
      <c r="DL19" s="31">
        <f t="shared" si="42"/>
        <v>3.132129843378717</v>
      </c>
      <c r="DM19" s="76">
        <v>1.1129126756005558E-2</v>
      </c>
      <c r="DN19" s="76">
        <v>5.3631946166142037E-2</v>
      </c>
      <c r="DO19" s="76">
        <v>4.0204659143656838E-3</v>
      </c>
      <c r="DP19" s="76">
        <f t="shared" si="43"/>
        <v>5.7652412080507719E-2</v>
      </c>
    </row>
    <row r="20" spans="1:120">
      <c r="A20" s="73" t="str">
        <f>name!B16</f>
        <v>Information technology</v>
      </c>
      <c r="B20" s="31">
        <f t="shared" si="1"/>
        <v>2.630000270050048</v>
      </c>
      <c r="C20" s="11">
        <v>34.601999999999876</v>
      </c>
      <c r="D20" s="76">
        <v>-3.8549999999999471</v>
      </c>
      <c r="E20" s="76">
        <v>10.256474686233423</v>
      </c>
      <c r="F20" s="76">
        <f t="shared" si="2"/>
        <v>6.4014746862334757</v>
      </c>
      <c r="G20" s="76"/>
      <c r="H20" s="31">
        <f t="shared" si="3"/>
        <v>2.4896239324975644</v>
      </c>
      <c r="I20" s="76">
        <v>6.3842523172142389</v>
      </c>
      <c r="J20" s="76">
        <v>-1.3027470433857931</v>
      </c>
      <c r="K20" s="76">
        <v>1.7798612708286927</v>
      </c>
      <c r="L20" s="76">
        <f t="shared" si="4"/>
        <v>0.47711422744289966</v>
      </c>
      <c r="N20" s="31">
        <f t="shared" si="5"/>
        <v>2.5461854565335118</v>
      </c>
      <c r="O20" s="76">
        <v>18.08880807286123</v>
      </c>
      <c r="P20" s="76">
        <v>-2.1012037936311048</v>
      </c>
      <c r="Q20" s="76">
        <v>5.1709423641740262</v>
      </c>
      <c r="R20" s="76">
        <f t="shared" si="6"/>
        <v>3.0697385705429214</v>
      </c>
      <c r="S20" s="89"/>
      <c r="T20" s="31">
        <f t="shared" si="7"/>
        <v>2.8646399549337564</v>
      </c>
      <c r="U20" s="76">
        <v>10.128939609924409</v>
      </c>
      <c r="V20" s="76">
        <v>-0.45104916298304948</v>
      </c>
      <c r="W20" s="76">
        <v>3.3056710512307044</v>
      </c>
      <c r="X20" s="76">
        <f t="shared" si="8"/>
        <v>2.8546218882476548</v>
      </c>
      <c r="Y20" s="73" t="str">
        <f t="shared" si="0"/>
        <v>Information technology</v>
      </c>
      <c r="Z20" s="31">
        <f t="shared" si="9"/>
        <v>2.8552821094793401</v>
      </c>
      <c r="AA20" s="11">
        <v>13.953182859548033</v>
      </c>
      <c r="AB20" s="76">
        <v>-1.67980428374619</v>
      </c>
      <c r="AC20" s="76">
        <v>4.5369181113981396</v>
      </c>
      <c r="AD20" s="76">
        <f t="shared" si="10"/>
        <v>2.8571138276519497</v>
      </c>
      <c r="AE20" s="76"/>
      <c r="AF20" s="31">
        <f t="shared" si="11"/>
        <v>2.798663449076022</v>
      </c>
      <c r="AG20" s="76">
        <v>1.2847958755225881</v>
      </c>
      <c r="AH20" s="76">
        <v>-0.12384047360641834</v>
      </c>
      <c r="AI20" s="76">
        <v>0.40840629030865233</v>
      </c>
      <c r="AJ20" s="76">
        <f t="shared" si="12"/>
        <v>0.28456581670223402</v>
      </c>
      <c r="AL20" s="31">
        <f t="shared" si="13"/>
        <v>2.7559320611477256</v>
      </c>
      <c r="AM20" s="76">
        <v>4.8268191334861674</v>
      </c>
      <c r="AN20" s="76">
        <v>-0.57107107367591969</v>
      </c>
      <c r="AO20" s="76">
        <v>1.5079392492593697</v>
      </c>
      <c r="AP20" s="76">
        <f t="shared" si="14"/>
        <v>0.93686817558345004</v>
      </c>
      <c r="AQ20" s="89"/>
      <c r="AR20" s="31">
        <f t="shared" si="15"/>
        <v>2.9252105333952505</v>
      </c>
      <c r="AS20" s="76">
        <v>7.8415678505392767</v>
      </c>
      <c r="AT20" s="76">
        <v>-0.98489273646385189</v>
      </c>
      <c r="AU20" s="76">
        <v>2.6205725718301167</v>
      </c>
      <c r="AV20" s="76">
        <f t="shared" si="16"/>
        <v>1.6356798353662647</v>
      </c>
      <c r="AW20" s="73" t="str">
        <f t="shared" si="17"/>
        <v>Information technology</v>
      </c>
      <c r="AX20" s="31">
        <f t="shared" si="18"/>
        <v>2.6748514920266198</v>
      </c>
      <c r="AY20" s="11">
        <v>4.2099312351777032</v>
      </c>
      <c r="AZ20" s="76">
        <v>-0.56161412539516631</v>
      </c>
      <c r="BA20" s="76">
        <v>1.2717759825285015</v>
      </c>
      <c r="BB20" s="76">
        <f t="shared" si="19"/>
        <v>0.71016185713333524</v>
      </c>
      <c r="BC20" s="76"/>
      <c r="BD20" s="31">
        <f t="shared" si="20"/>
        <v>2.5994582145060452</v>
      </c>
      <c r="BE20" s="76">
        <v>0.53565838194452042</v>
      </c>
      <c r="BF20" s="76">
        <v>-7.8618004194655866E-2</v>
      </c>
      <c r="BG20" s="76">
        <v>0.15671215650903289</v>
      </c>
      <c r="BH20" s="76">
        <f t="shared" si="21"/>
        <v>7.8094152314377024E-2</v>
      </c>
      <c r="BJ20" s="31">
        <f t="shared" si="22"/>
        <v>2.6483527756445246</v>
      </c>
      <c r="BK20" s="76">
        <v>2.2560634885597532</v>
      </c>
      <c r="BL20" s="76">
        <v>-0.30542322205299727</v>
      </c>
      <c r="BM20" s="76">
        <v>0.67396040804007895</v>
      </c>
      <c r="BN20" s="76">
        <f t="shared" si="23"/>
        <v>0.36853718598708168</v>
      </c>
      <c r="BO20" s="89"/>
      <c r="BP20" s="31">
        <f t="shared" si="24"/>
        <v>2.7451216362557762</v>
      </c>
      <c r="BQ20" s="76">
        <v>1.4182093646734297</v>
      </c>
      <c r="BR20" s="76">
        <v>-0.17757289914751315</v>
      </c>
      <c r="BS20" s="76">
        <v>0.44110341797938962</v>
      </c>
      <c r="BT20" s="76">
        <f t="shared" si="25"/>
        <v>0.2635305188318765</v>
      </c>
      <c r="BU20" s="73" t="str">
        <f t="shared" si="26"/>
        <v>Information technology</v>
      </c>
      <c r="BV20" s="31">
        <f t="shared" si="27"/>
        <v>2.4242377604531073</v>
      </c>
      <c r="BW20" s="11">
        <v>15.223628532016798</v>
      </c>
      <c r="BX20" s="76">
        <v>-1.9724996964398605</v>
      </c>
      <c r="BY20" s="76">
        <v>4.1203403348407761</v>
      </c>
      <c r="BZ20" s="76">
        <f t="shared" si="28"/>
        <v>2.1478406384009157</v>
      </c>
      <c r="CA20" s="76"/>
      <c r="CB20" s="31">
        <f t="shared" si="29"/>
        <v>2.4043230891266143</v>
      </c>
      <c r="CC20" s="76">
        <v>4.0549670831540263</v>
      </c>
      <c r="CD20" s="76">
        <v>-0.87521384736118646</v>
      </c>
      <c r="CE20" s="76">
        <v>1.0874848929554206</v>
      </c>
      <c r="CF20" s="76">
        <f t="shared" si="30"/>
        <v>0.21227104559423415</v>
      </c>
      <c r="CH20" s="31">
        <f t="shared" si="31"/>
        <v>2.4287404250380895</v>
      </c>
      <c r="CI20" s="76">
        <v>10.383652468950638</v>
      </c>
      <c r="CJ20" s="76">
        <v>-1.3016002996443403</v>
      </c>
      <c r="CK20" s="76">
        <v>2.8161814283025186</v>
      </c>
      <c r="CL20" s="76">
        <f t="shared" si="32"/>
        <v>1.5145811286581783</v>
      </c>
      <c r="CM20" s="89"/>
      <c r="CN20" s="31">
        <f t="shared" si="33"/>
        <v>2.4673648385086233</v>
      </c>
      <c r="CO20" s="76">
        <v>0.78500897991213381</v>
      </c>
      <c r="CP20" s="76">
        <v>0.20431445056566661</v>
      </c>
      <c r="CQ20" s="76">
        <v>0.21667401358283661</v>
      </c>
      <c r="CR20" s="76">
        <f t="shared" si="34"/>
        <v>0.42098846414850322</v>
      </c>
      <c r="CS20" s="73" t="str">
        <f t="shared" si="35"/>
        <v>Information technology</v>
      </c>
      <c r="CT20" s="31">
        <f t="shared" si="36"/>
        <v>2.4144541847002987</v>
      </c>
      <c r="CU20" s="11">
        <v>1.2152573732573435</v>
      </c>
      <c r="CV20" s="76">
        <v>0.35891810558126896</v>
      </c>
      <c r="CW20" s="76">
        <v>0.32744025746600702</v>
      </c>
      <c r="CX20" s="76">
        <f t="shared" si="37"/>
        <v>0.68635836304727604</v>
      </c>
      <c r="CY20" s="76"/>
      <c r="CZ20" s="31">
        <f t="shared" si="38"/>
        <v>2.2573250871402939</v>
      </c>
      <c r="DA20" s="76">
        <v>0.50883097659310417</v>
      </c>
      <c r="DB20" s="76">
        <v>-0.22507471822353237</v>
      </c>
      <c r="DC20" s="76">
        <v>0.12725793105558686</v>
      </c>
      <c r="DD20" s="76">
        <f t="shared" si="39"/>
        <v>-9.7816787167945507E-2</v>
      </c>
      <c r="DF20" s="31">
        <f t="shared" si="40"/>
        <v>2.4816129596337833</v>
      </c>
      <c r="DG20" s="76">
        <v>0.62227298186467062</v>
      </c>
      <c r="DH20" s="76">
        <v>7.6890801742152348E-2</v>
      </c>
      <c r="DI20" s="76">
        <v>0.1728612785720591</v>
      </c>
      <c r="DJ20" s="76">
        <f t="shared" si="41"/>
        <v>0.24975208031421145</v>
      </c>
      <c r="DK20" s="89"/>
      <c r="DL20" s="31">
        <f t="shared" si="42"/>
        <v>2.8514371248256065</v>
      </c>
      <c r="DM20" s="76">
        <v>8.4153414799568824E-2</v>
      </c>
      <c r="DN20" s="76">
        <v>0.50710202206264898</v>
      </c>
      <c r="DO20" s="76">
        <v>2.7321047838361107E-2</v>
      </c>
      <c r="DP20" s="76">
        <f t="shared" si="43"/>
        <v>0.53442306990101007</v>
      </c>
    </row>
    <row r="21" spans="1:120">
      <c r="A21" s="73" t="str">
        <f>name!B17</f>
        <v>Finance and insurance</v>
      </c>
      <c r="B21" s="31">
        <f t="shared" si="1"/>
        <v>2.4812804219719098</v>
      </c>
      <c r="C21" s="11">
        <v>33.322999999999901</v>
      </c>
      <c r="D21" s="76">
        <v>-3.4569999999999741</v>
      </c>
      <c r="E21" s="76">
        <v>9.2554181233713848</v>
      </c>
      <c r="F21" s="76">
        <f t="shared" si="2"/>
        <v>5.7984181233714107</v>
      </c>
      <c r="G21" s="76"/>
      <c r="H21" s="31">
        <f t="shared" si="3"/>
        <v>2.3436986854765918</v>
      </c>
      <c r="I21" s="76">
        <v>7.7779668974735596</v>
      </c>
      <c r="J21" s="76">
        <v>-2.1913610207501648</v>
      </c>
      <c r="K21" s="76">
        <v>2.0277008362964004</v>
      </c>
      <c r="L21" s="76">
        <f t="shared" si="4"/>
        <v>-0.1636601844537644</v>
      </c>
      <c r="N21" s="31">
        <f t="shared" si="5"/>
        <v>2.3961637037624106</v>
      </c>
      <c r="O21" s="76">
        <v>18.946833896500934</v>
      </c>
      <c r="P21" s="76">
        <v>-1.9125527829377933</v>
      </c>
      <c r="Q21" s="76">
        <v>5.0621349318084921</v>
      </c>
      <c r="R21" s="76">
        <f t="shared" si="6"/>
        <v>3.1495821488706985</v>
      </c>
      <c r="S21" s="89"/>
      <c r="T21" s="31">
        <f t="shared" si="7"/>
        <v>2.878971077935244</v>
      </c>
      <c r="U21" s="76">
        <v>6.5981992060254084</v>
      </c>
      <c r="V21" s="76">
        <v>0.64691380368798412</v>
      </c>
      <c r="W21" s="76">
        <v>2.1655823552664915</v>
      </c>
      <c r="X21" s="76">
        <f t="shared" si="8"/>
        <v>2.8124961589544757</v>
      </c>
      <c r="Y21" s="73" t="str">
        <f t="shared" si="0"/>
        <v>Finance and insurance</v>
      </c>
      <c r="Z21" s="31">
        <f t="shared" si="9"/>
        <v>2.798959749955654</v>
      </c>
      <c r="AA21" s="11">
        <v>12.270868694716109</v>
      </c>
      <c r="AB21" s="76">
        <v>2.9764862885854111</v>
      </c>
      <c r="AC21" s="76">
        <v>3.9010857145843958</v>
      </c>
      <c r="AD21" s="76">
        <f t="shared" si="10"/>
        <v>6.8775720031698064</v>
      </c>
      <c r="AE21" s="76"/>
      <c r="AF21" s="31">
        <f t="shared" si="11"/>
        <v>2.7178804906447418</v>
      </c>
      <c r="AG21" s="76">
        <v>1.4082979674661906</v>
      </c>
      <c r="AH21" s="76">
        <v>5.2896058974020416E-2</v>
      </c>
      <c r="AI21" s="76">
        <v>0.43313132387053488</v>
      </c>
      <c r="AJ21" s="76">
        <f t="shared" si="12"/>
        <v>0.48602738284455527</v>
      </c>
      <c r="AL21" s="31">
        <f t="shared" si="13"/>
        <v>2.6905674486324749</v>
      </c>
      <c r="AM21" s="76">
        <v>5.7129298402976092</v>
      </c>
      <c r="AN21" s="76">
        <v>2.2476050941027323</v>
      </c>
      <c r="AO21" s="76">
        <v>1.737210049999393</v>
      </c>
      <c r="AP21" s="76">
        <f t="shared" si="14"/>
        <v>3.9848151441021251</v>
      </c>
      <c r="AQ21" s="89"/>
      <c r="AR21" s="31">
        <f t="shared" si="15"/>
        <v>2.939861842779945</v>
      </c>
      <c r="AS21" s="76">
        <v>5.1496408869523096</v>
      </c>
      <c r="AT21" s="76">
        <v>0.67598513550865802</v>
      </c>
      <c r="AU21" s="76">
        <v>1.7307443407144678</v>
      </c>
      <c r="AV21" s="76">
        <f t="shared" si="16"/>
        <v>2.4067294762231257</v>
      </c>
      <c r="AW21" s="73" t="str">
        <f t="shared" si="17"/>
        <v>Finance and insurance</v>
      </c>
      <c r="AX21" s="31">
        <f t="shared" si="18"/>
        <v>2.6672196716569507</v>
      </c>
      <c r="AY21" s="11">
        <v>3.1291828896233556</v>
      </c>
      <c r="AZ21" s="76">
        <v>4.7662543576286416E-2</v>
      </c>
      <c r="BA21" s="76">
        <v>0.94226572050611046</v>
      </c>
      <c r="BB21" s="76">
        <f t="shared" si="19"/>
        <v>0.98992826408239687</v>
      </c>
      <c r="BC21" s="76"/>
      <c r="BD21" s="31">
        <f t="shared" si="20"/>
        <v>2.6037899995889902</v>
      </c>
      <c r="BE21" s="76">
        <v>0.61592438154919227</v>
      </c>
      <c r="BF21" s="76">
        <v>-3.7382232284277769E-2</v>
      </c>
      <c r="BG21" s="76">
        <v>0.18053095656887813</v>
      </c>
      <c r="BH21" s="76">
        <f t="shared" si="21"/>
        <v>0.14314872428460035</v>
      </c>
      <c r="BJ21" s="31">
        <f t="shared" si="22"/>
        <v>2.6401755891724665</v>
      </c>
      <c r="BK21" s="76">
        <v>1.812577752323878</v>
      </c>
      <c r="BL21" s="76">
        <v>-1.6849737964863366E-2</v>
      </c>
      <c r="BM21" s="76">
        <v>0.53960200635034938</v>
      </c>
      <c r="BN21" s="76">
        <f t="shared" si="23"/>
        <v>0.52275226838548605</v>
      </c>
      <c r="BO21" s="89"/>
      <c r="BP21" s="31">
        <f t="shared" si="24"/>
        <v>2.7920140765933743</v>
      </c>
      <c r="BQ21" s="76">
        <v>0.70068075575028521</v>
      </c>
      <c r="BR21" s="76">
        <v>0.10189451382542755</v>
      </c>
      <c r="BS21" s="76">
        <v>0.22213275758688292</v>
      </c>
      <c r="BT21" s="76">
        <f t="shared" si="25"/>
        <v>0.32402727141231047</v>
      </c>
      <c r="BU21" s="73" t="str">
        <f t="shared" si="26"/>
        <v>Finance and insurance</v>
      </c>
      <c r="BV21" s="31">
        <f t="shared" si="27"/>
        <v>2.2225807612637372</v>
      </c>
      <c r="BW21" s="11">
        <v>17.010496310706994</v>
      </c>
      <c r="BX21" s="76">
        <v>-6.2268929517639569</v>
      </c>
      <c r="BY21" s="76">
        <v>4.1821600833902677</v>
      </c>
      <c r="BZ21" s="76">
        <f t="shared" si="28"/>
        <v>-2.0447328683736892</v>
      </c>
      <c r="CA21" s="76"/>
      <c r="CB21" s="31">
        <f t="shared" si="29"/>
        <v>2.2178133748506523</v>
      </c>
      <c r="CC21" s="76">
        <v>5.361386794682045</v>
      </c>
      <c r="CD21" s="76">
        <v>-2.3999699747148724</v>
      </c>
      <c r="CE21" s="76">
        <v>1.3150232829970165</v>
      </c>
      <c r="CF21" s="76">
        <f t="shared" si="30"/>
        <v>-1.0849466917178558</v>
      </c>
      <c r="CH21" s="31">
        <f t="shared" si="31"/>
        <v>2.2046166739490669</v>
      </c>
      <c r="CI21" s="76">
        <v>10.966559197882978</v>
      </c>
      <c r="CJ21" s="76">
        <v>-3.7501749723874718</v>
      </c>
      <c r="CK21" s="76">
        <v>2.6722208134635381</v>
      </c>
      <c r="CL21" s="76">
        <f t="shared" si="32"/>
        <v>-1.0779541589239336</v>
      </c>
      <c r="CM21" s="89"/>
      <c r="CN21" s="31">
        <f t="shared" si="33"/>
        <v>2.5438402112385017</v>
      </c>
      <c r="CO21" s="76">
        <v>0.68255031814196876</v>
      </c>
      <c r="CP21" s="76">
        <v>-7.6748004661612662E-2</v>
      </c>
      <c r="CQ21" s="76">
        <v>0.19491598692971274</v>
      </c>
      <c r="CR21" s="76">
        <f t="shared" si="34"/>
        <v>0.11816798226810007</v>
      </c>
      <c r="CS21" s="73" t="str">
        <f t="shared" si="35"/>
        <v>Finance and insurance</v>
      </c>
      <c r="CT21" s="31">
        <f t="shared" si="36"/>
        <v>2.2725870846393104</v>
      </c>
      <c r="CU21" s="11">
        <v>0.91245210495344775</v>
      </c>
      <c r="CV21" s="76">
        <v>-0.25425588039771407</v>
      </c>
      <c r="CW21" s="76">
        <v>0.22990660489061099</v>
      </c>
      <c r="CX21" s="76">
        <f t="shared" si="37"/>
        <v>-2.4349275507103085E-2</v>
      </c>
      <c r="CY21" s="76"/>
      <c r="CZ21" s="31">
        <f t="shared" si="38"/>
        <v>2.2758052007650242</v>
      </c>
      <c r="DA21" s="76">
        <v>0.3923577537761323</v>
      </c>
      <c r="DB21" s="76">
        <v>0.19309512727496547</v>
      </c>
      <c r="DC21" s="76">
        <v>9.9015272859970554E-2</v>
      </c>
      <c r="DD21" s="76">
        <f t="shared" si="39"/>
        <v>0.29211040013493605</v>
      </c>
      <c r="DF21" s="31">
        <f t="shared" si="40"/>
        <v>2.2459052950809522</v>
      </c>
      <c r="DG21" s="76">
        <v>0.4547671059964703</v>
      </c>
      <c r="DH21" s="76">
        <v>-0.3931331666881907</v>
      </c>
      <c r="DI21" s="76">
        <v>0.11310206199521274</v>
      </c>
      <c r="DJ21" s="76">
        <f t="shared" si="41"/>
        <v>-0.28003110469297798</v>
      </c>
      <c r="DK21" s="89"/>
      <c r="DL21" s="31">
        <f t="shared" si="42"/>
        <v>2.4375771949586511</v>
      </c>
      <c r="DM21" s="76">
        <v>6.5327245180845164E-2</v>
      </c>
      <c r="DN21" s="76">
        <v>-5.4217840984488806E-2</v>
      </c>
      <c r="DO21" s="76">
        <v>1.7789270035427705E-2</v>
      </c>
      <c r="DP21" s="76">
        <f t="shared" si="43"/>
        <v>-3.6428570949061101E-2</v>
      </c>
    </row>
    <row r="22" spans="1:120">
      <c r="A22" s="73" t="str">
        <f>name!B18</f>
        <v>Real estate</v>
      </c>
      <c r="B22" s="31">
        <f t="shared" si="1"/>
        <v>2.6116897758494684</v>
      </c>
      <c r="C22" s="11">
        <v>6.1683349428474763</v>
      </c>
      <c r="D22" s="76">
        <v>0.196627540592925</v>
      </c>
      <c r="E22" s="76">
        <v>1.8141175570326864</v>
      </c>
      <c r="F22" s="76">
        <f t="shared" si="2"/>
        <v>2.0107450976256116</v>
      </c>
      <c r="G22" s="76"/>
      <c r="H22" s="31">
        <f t="shared" si="3"/>
        <v>2.514226030268718</v>
      </c>
      <c r="I22" s="76">
        <v>1.4414399971181822</v>
      </c>
      <c r="J22" s="76">
        <v>-0.35250015246161959</v>
      </c>
      <c r="K22" s="76">
        <v>0.40628757914793828</v>
      </c>
      <c r="L22" s="76">
        <f t="shared" si="4"/>
        <v>5.3787426686318696E-2</v>
      </c>
      <c r="N22" s="31">
        <f t="shared" si="5"/>
        <v>2.6214470082087438</v>
      </c>
      <c r="O22" s="76">
        <v>2.3753843717507803</v>
      </c>
      <c r="P22" s="76">
        <v>0.12579529520222252</v>
      </c>
      <c r="Q22" s="76">
        <v>0.701528764239294</v>
      </c>
      <c r="R22" s="76">
        <f t="shared" si="6"/>
        <v>0.82732405944151655</v>
      </c>
      <c r="S22" s="89"/>
      <c r="T22" s="31">
        <f t="shared" si="7"/>
        <v>2.6612106513108635</v>
      </c>
      <c r="U22" s="76">
        <v>2.3515105739785147</v>
      </c>
      <c r="V22" s="76">
        <v>0.42333239785232213</v>
      </c>
      <c r="W22" s="76">
        <v>0.70630121364545417</v>
      </c>
      <c r="X22" s="76">
        <f t="shared" si="8"/>
        <v>1.1296336114977763</v>
      </c>
      <c r="Y22" s="73" t="str">
        <f t="shared" si="0"/>
        <v>Real estate</v>
      </c>
      <c r="Z22" s="31">
        <f t="shared" si="9"/>
        <v>2.7183631629002836</v>
      </c>
      <c r="AA22" s="11">
        <v>3.1732901245624543</v>
      </c>
      <c r="AB22" s="76">
        <v>0.6841817025054634</v>
      </c>
      <c r="AC22" s="76">
        <v>0.97616127527036756</v>
      </c>
      <c r="AD22" s="76">
        <f t="shared" si="10"/>
        <v>1.660342977775831</v>
      </c>
      <c r="AE22" s="76"/>
      <c r="AF22" s="31">
        <f t="shared" si="11"/>
        <v>2.6131607505413434</v>
      </c>
      <c r="AG22" s="76">
        <v>0.19250680994422617</v>
      </c>
      <c r="AH22" s="76">
        <v>0.16401414967811412</v>
      </c>
      <c r="AI22" s="76">
        <v>5.6652287723932618E-2</v>
      </c>
      <c r="AJ22" s="76">
        <f t="shared" si="12"/>
        <v>0.22066643740204672</v>
      </c>
      <c r="AL22" s="31">
        <f t="shared" si="13"/>
        <v>2.8445633977957741</v>
      </c>
      <c r="AM22" s="76">
        <v>0.85860730100895899</v>
      </c>
      <c r="AN22" s="76">
        <v>4.2190547756578954E-2</v>
      </c>
      <c r="AO22" s="76">
        <v>0.27799351979985232</v>
      </c>
      <c r="AP22" s="76">
        <f t="shared" si="14"/>
        <v>0.32018406755643125</v>
      </c>
      <c r="AQ22" s="89"/>
      <c r="AR22" s="31">
        <f t="shared" si="15"/>
        <v>2.6764431790775811</v>
      </c>
      <c r="AS22" s="76">
        <v>2.1221760136092689</v>
      </c>
      <c r="AT22" s="76">
        <v>0.47797700507077023</v>
      </c>
      <c r="AU22" s="76">
        <v>0.64151546774658263</v>
      </c>
      <c r="AV22" s="76">
        <f t="shared" si="16"/>
        <v>1.119492472817353</v>
      </c>
      <c r="AW22" s="73" t="str">
        <f t="shared" si="17"/>
        <v>Real estate</v>
      </c>
      <c r="AX22" s="31">
        <f t="shared" si="18"/>
        <v>2.6817205379647824</v>
      </c>
      <c r="AY22" s="11">
        <v>0.48397528340046003</v>
      </c>
      <c r="AZ22" s="76">
        <v>-0.12994053725972496</v>
      </c>
      <c r="BA22" s="76">
        <v>0.14662556967400292</v>
      </c>
      <c r="BB22" s="76">
        <f t="shared" si="19"/>
        <v>1.6685032414277962E-2</v>
      </c>
      <c r="BC22" s="76"/>
      <c r="BD22" s="31">
        <f t="shared" si="20"/>
        <v>2.6291172026759568</v>
      </c>
      <c r="BE22" s="76">
        <v>9.4966037850212306E-2</v>
      </c>
      <c r="BF22" s="76">
        <v>-2.1192060628218386E-2</v>
      </c>
      <c r="BG22" s="76">
        <v>2.8138553500052236E-2</v>
      </c>
      <c r="BH22" s="76">
        <f t="shared" si="21"/>
        <v>6.9464928718338502E-3</v>
      </c>
      <c r="BJ22" s="31">
        <f t="shared" si="22"/>
        <v>2.6564659717416284</v>
      </c>
      <c r="BK22" s="76">
        <v>0.28934641044130943</v>
      </c>
      <c r="BL22" s="76">
        <v>-6.9725317303981571E-2</v>
      </c>
      <c r="BM22" s="76">
        <v>8.6734415154016753E-2</v>
      </c>
      <c r="BN22" s="76">
        <f t="shared" si="23"/>
        <v>1.7009097850035182E-2</v>
      </c>
      <c r="BO22" s="89"/>
      <c r="BP22" s="31">
        <f t="shared" si="24"/>
        <v>2.8043080569318812</v>
      </c>
      <c r="BQ22" s="76">
        <v>9.9662835108938322E-2</v>
      </c>
      <c r="BR22" s="76">
        <v>-3.9023159327524995E-2</v>
      </c>
      <c r="BS22" s="76">
        <v>3.1752601019933914E-2</v>
      </c>
      <c r="BT22" s="76">
        <f t="shared" si="25"/>
        <v>-7.270558307591081E-3</v>
      </c>
      <c r="BU22" s="73" t="str">
        <f t="shared" si="26"/>
        <v>Real estate</v>
      </c>
      <c r="BV22" s="31">
        <f t="shared" si="27"/>
        <v>2.4416221739186561</v>
      </c>
      <c r="BW22" s="11">
        <v>2.2997640416194169</v>
      </c>
      <c r="BX22" s="76">
        <v>-0.8033658212946152</v>
      </c>
      <c r="BY22" s="76">
        <v>0.6274046319250105</v>
      </c>
      <c r="BZ22" s="76">
        <f t="shared" si="28"/>
        <v>-0.1759611893696047</v>
      </c>
      <c r="CA22" s="76"/>
      <c r="CB22" s="31">
        <f t="shared" si="29"/>
        <v>2.4552545911513901</v>
      </c>
      <c r="CC22" s="76">
        <v>1.0388676866360598</v>
      </c>
      <c r="CD22" s="76">
        <v>-0.38022277882383149</v>
      </c>
      <c r="CE22" s="76">
        <v>0.285176888828165</v>
      </c>
      <c r="CF22" s="76">
        <f t="shared" si="30"/>
        <v>-9.5045889995666488E-2</v>
      </c>
      <c r="CH22" s="31">
        <f t="shared" si="31"/>
        <v>2.4368885305120269</v>
      </c>
      <c r="CI22" s="76">
        <v>1.1528693059881228</v>
      </c>
      <c r="CJ22" s="76">
        <v>-0.40179371550567344</v>
      </c>
      <c r="CK22" s="76">
        <v>0.31383937301156528</v>
      </c>
      <c r="CL22" s="76">
        <f t="shared" si="32"/>
        <v>-8.7954342494108162E-2</v>
      </c>
      <c r="CM22" s="89"/>
      <c r="CN22" s="31">
        <f t="shared" si="33"/>
        <v>2.3606641104796822</v>
      </c>
      <c r="CO22" s="76">
        <v>0.10802704899523392</v>
      </c>
      <c r="CP22" s="76">
        <v>-2.134932696511032E-2</v>
      </c>
      <c r="CQ22" s="76">
        <v>2.8388370085280102E-2</v>
      </c>
      <c r="CR22" s="76">
        <f t="shared" si="34"/>
        <v>7.0390431201697821E-3</v>
      </c>
      <c r="CS22" s="73" t="str">
        <f t="shared" si="35"/>
        <v>Real estate</v>
      </c>
      <c r="CT22" s="31">
        <f t="shared" si="36"/>
        <v>2.6783181831917302</v>
      </c>
      <c r="CU22" s="11">
        <v>0.21130549326514642</v>
      </c>
      <c r="CV22" s="76">
        <v>0.44575219664180188</v>
      </c>
      <c r="CW22" s="76">
        <v>6.3926080163305615E-2</v>
      </c>
      <c r="CX22" s="76">
        <f t="shared" si="37"/>
        <v>0.50967827680510747</v>
      </c>
      <c r="CY22" s="76"/>
      <c r="CZ22" s="31">
        <f t="shared" si="38"/>
        <v>2.7805168236047173</v>
      </c>
      <c r="DA22" s="76">
        <v>0.11509946268768383</v>
      </c>
      <c r="DB22" s="76">
        <v>-0.11509946268768383</v>
      </c>
      <c r="DC22" s="76">
        <v>3.6319849095788476E-2</v>
      </c>
      <c r="DD22" s="76">
        <f t="shared" si="39"/>
        <v>-7.8779613591895351E-2</v>
      </c>
      <c r="DF22" s="31">
        <f t="shared" si="40"/>
        <v>2.7210008218849335</v>
      </c>
      <c r="DG22" s="76">
        <v>7.4561354312388889E-2</v>
      </c>
      <c r="DH22" s="76">
        <v>0.55512378025529863</v>
      </c>
      <c r="DI22" s="76">
        <v>2.2961456273859673E-2</v>
      </c>
      <c r="DJ22" s="76">
        <f t="shared" si="41"/>
        <v>0.57808523652915833</v>
      </c>
      <c r="DK22" s="89"/>
      <c r="DL22" s="31">
        <f t="shared" si="42"/>
        <v>1.9631026785993377</v>
      </c>
      <c r="DM22" s="76">
        <v>2.1644676265073697E-2</v>
      </c>
      <c r="DN22" s="76">
        <v>5.7278790741871642E-3</v>
      </c>
      <c r="DO22" s="76">
        <v>4.64477479365746E-3</v>
      </c>
      <c r="DP22" s="76">
        <f t="shared" si="43"/>
        <v>1.0372653867844625E-2</v>
      </c>
    </row>
    <row r="23" spans="1:120">
      <c r="A23" s="73" t="str">
        <f>name!B19</f>
        <v>Professional services</v>
      </c>
      <c r="B23" s="31">
        <f t="shared" si="1"/>
        <v>2.6743157766083714</v>
      </c>
      <c r="C23" s="11">
        <v>38.965266386568921</v>
      </c>
      <c r="D23" s="76">
        <v>11.458986137276469</v>
      </c>
      <c r="E23" s="76">
        <v>11.768350327197798</v>
      </c>
      <c r="F23" s="76">
        <f t="shared" si="2"/>
        <v>23.227336464474266</v>
      </c>
      <c r="G23" s="76"/>
      <c r="H23" s="31">
        <f t="shared" si="3"/>
        <v>2.5161455631662166</v>
      </c>
      <c r="I23" s="76">
        <v>10.746753519096059</v>
      </c>
      <c r="J23" s="76">
        <v>0.60470899426028668</v>
      </c>
      <c r="K23" s="76">
        <v>3.0316842468873038</v>
      </c>
      <c r="L23" s="76">
        <f t="shared" si="4"/>
        <v>3.6363932411475903</v>
      </c>
      <c r="N23" s="31">
        <f t="shared" si="5"/>
        <v>2.6382849635641303</v>
      </c>
      <c r="O23" s="76">
        <v>19.377813500619759</v>
      </c>
      <c r="P23" s="76">
        <v>6.3961252707032488</v>
      </c>
      <c r="Q23" s="76">
        <v>5.7641179254827515</v>
      </c>
      <c r="R23" s="76">
        <f t="shared" si="6"/>
        <v>12.160243196186</v>
      </c>
      <c r="S23" s="89"/>
      <c r="T23" s="31">
        <f t="shared" si="7"/>
        <v>2.9409728215002984</v>
      </c>
      <c r="U23" s="76">
        <v>8.8406993668531033</v>
      </c>
      <c r="V23" s="76">
        <v>4.4581518723129312</v>
      </c>
      <c r="W23" s="76">
        <v>2.972548154827741</v>
      </c>
      <c r="X23" s="76">
        <f t="shared" si="8"/>
        <v>7.4307000271406718</v>
      </c>
      <c r="Y23" s="73" t="str">
        <f t="shared" si="0"/>
        <v>Professional services</v>
      </c>
      <c r="Z23" s="31">
        <f t="shared" si="9"/>
        <v>3.0111146972381153</v>
      </c>
      <c r="AA23" s="11">
        <v>12.983727410431358</v>
      </c>
      <c r="AB23" s="76">
        <v>7.3161535468635082</v>
      </c>
      <c r="AC23" s="76">
        <v>4.4841548751658866</v>
      </c>
      <c r="AD23" s="76">
        <f t="shared" si="10"/>
        <v>11.800308422029396</v>
      </c>
      <c r="AE23" s="76"/>
      <c r="AF23" s="31">
        <f t="shared" si="11"/>
        <v>2.8731628500449968</v>
      </c>
      <c r="AG23" s="76">
        <v>1.9378479390650463</v>
      </c>
      <c r="AH23" s="76">
        <v>1.549926671508655</v>
      </c>
      <c r="AI23" s="76">
        <v>0.63456461426776711</v>
      </c>
      <c r="AJ23" s="76">
        <f t="shared" si="12"/>
        <v>2.184491285776422</v>
      </c>
      <c r="AL23" s="31">
        <f t="shared" si="13"/>
        <v>3.0369546647093459</v>
      </c>
      <c r="AM23" s="76">
        <v>4.9791010176174728</v>
      </c>
      <c r="AN23" s="76">
        <v>2.6541784276946645</v>
      </c>
      <c r="AO23" s="76">
        <v>1.7364411510950009</v>
      </c>
      <c r="AP23" s="76">
        <f t="shared" si="14"/>
        <v>4.3906195787896651</v>
      </c>
      <c r="AQ23" s="89"/>
      <c r="AR23" s="31">
        <f t="shared" si="15"/>
        <v>3.0336611731275553</v>
      </c>
      <c r="AS23" s="76">
        <v>6.0667784537488378</v>
      </c>
      <c r="AT23" s="76">
        <v>3.1120484476601886</v>
      </c>
      <c r="AU23" s="76">
        <v>2.113149109803119</v>
      </c>
      <c r="AV23" s="76">
        <f t="shared" si="16"/>
        <v>5.2251975574633072</v>
      </c>
      <c r="AW23" s="73" t="str">
        <f t="shared" si="17"/>
        <v>Professional services</v>
      </c>
      <c r="AX23" s="31">
        <f t="shared" si="18"/>
        <v>2.6662390167296435</v>
      </c>
      <c r="AY23" s="11">
        <v>4.377709221482184</v>
      </c>
      <c r="AZ23" s="76">
        <v>0.80308463988107726</v>
      </c>
      <c r="BA23" s="76">
        <v>1.3176803910698349</v>
      </c>
      <c r="BB23" s="76">
        <f t="shared" si="19"/>
        <v>2.1207650309509121</v>
      </c>
      <c r="BC23" s="76"/>
      <c r="BD23" s="31">
        <f t="shared" si="20"/>
        <v>2.5700639379084178</v>
      </c>
      <c r="BE23" s="76">
        <v>0.73699369082515398</v>
      </c>
      <c r="BF23" s="76">
        <v>8.1502387714943961E-2</v>
      </c>
      <c r="BG23" s="76">
        <v>0.21288912804948243</v>
      </c>
      <c r="BH23" s="76">
        <f t="shared" si="21"/>
        <v>0.2943915157644264</v>
      </c>
      <c r="BJ23" s="31">
        <f t="shared" si="22"/>
        <v>2.6279165568233287</v>
      </c>
      <c r="BK23" s="76">
        <v>2.307013712695364</v>
      </c>
      <c r="BL23" s="76">
        <v>0.55219489458428639</v>
      </c>
      <c r="BM23" s="76">
        <v>0.6832211463125315</v>
      </c>
      <c r="BN23" s="76">
        <f t="shared" si="23"/>
        <v>1.2354160408968178</v>
      </c>
      <c r="BO23" s="89"/>
      <c r="BP23" s="31">
        <f t="shared" si="24"/>
        <v>2.784722232207959</v>
      </c>
      <c r="BQ23" s="76">
        <v>1.3337018179616666</v>
      </c>
      <c r="BR23" s="76">
        <v>0.16938735758184675</v>
      </c>
      <c r="BS23" s="76">
        <v>0.42157011670782107</v>
      </c>
      <c r="BT23" s="76">
        <f t="shared" si="25"/>
        <v>0.59095747428966783</v>
      </c>
      <c r="BU23" s="73" t="str">
        <f t="shared" si="26"/>
        <v>Professional services</v>
      </c>
      <c r="BV23" s="31">
        <f t="shared" si="27"/>
        <v>2.4703617034511627</v>
      </c>
      <c r="BW23" s="11">
        <v>20.365934087380882</v>
      </c>
      <c r="BX23" s="76">
        <v>2.1048678580900813</v>
      </c>
      <c r="BY23" s="76">
        <v>5.6288985612392128</v>
      </c>
      <c r="BZ23" s="76">
        <f t="shared" si="28"/>
        <v>7.7337664193292941</v>
      </c>
      <c r="CA23" s="76"/>
      <c r="CB23" s="31">
        <f t="shared" si="29"/>
        <v>2.4286762007679874</v>
      </c>
      <c r="CC23" s="76">
        <v>7.4477312798356223</v>
      </c>
      <c r="CD23" s="76">
        <v>-0.68225133953011141</v>
      </c>
      <c r="CE23" s="76">
        <v>2.0198621022347334</v>
      </c>
      <c r="CF23" s="76">
        <f t="shared" si="30"/>
        <v>1.3376107627046219</v>
      </c>
      <c r="CH23" s="31">
        <f t="shared" si="31"/>
        <v>2.4720591117074919</v>
      </c>
      <c r="CI23" s="76">
        <v>11.586627461599615</v>
      </c>
      <c r="CJ23" s="76">
        <v>1.943280535192967</v>
      </c>
      <c r="CK23" s="76">
        <v>3.2048540580010663</v>
      </c>
      <c r="CL23" s="76">
        <f t="shared" si="32"/>
        <v>5.1481345931940332</v>
      </c>
      <c r="CM23" s="89"/>
      <c r="CN23" s="31">
        <f t="shared" si="33"/>
        <v>2.6862600536722958</v>
      </c>
      <c r="CO23" s="76">
        <v>1.3315753459456456</v>
      </c>
      <c r="CP23" s="76">
        <v>0.84383866242722605</v>
      </c>
      <c r="CQ23" s="76">
        <v>0.40418240100341252</v>
      </c>
      <c r="CR23" s="76">
        <f t="shared" si="34"/>
        <v>1.2480210634306386</v>
      </c>
      <c r="CS23" s="73" t="str">
        <f t="shared" si="35"/>
        <v>Professional services</v>
      </c>
      <c r="CT23" s="31">
        <f t="shared" si="36"/>
        <v>2.4409911721383182</v>
      </c>
      <c r="CU23" s="11">
        <v>1.2378956672744925</v>
      </c>
      <c r="CV23" s="76">
        <v>1.2348800924418006</v>
      </c>
      <c r="CW23" s="76">
        <v>0.33761649972286273</v>
      </c>
      <c r="CX23" s="76">
        <f t="shared" si="37"/>
        <v>1.5724965921646634</v>
      </c>
      <c r="CY23" s="76"/>
      <c r="CZ23" s="31">
        <f t="shared" si="38"/>
        <v>2.365082760893733</v>
      </c>
      <c r="DA23" s="76">
        <v>0.62418060937023667</v>
      </c>
      <c r="DB23" s="76">
        <v>-0.34446872543320101</v>
      </c>
      <c r="DC23" s="76">
        <v>0.16436840233532063</v>
      </c>
      <c r="DD23" s="76">
        <f t="shared" si="39"/>
        <v>-0.18010032309788038</v>
      </c>
      <c r="DF23" s="31">
        <f t="shared" si="40"/>
        <v>2.4704563056764162</v>
      </c>
      <c r="DG23" s="76">
        <v>0.50507130870730466</v>
      </c>
      <c r="DH23" s="76">
        <v>1.2464714132313313</v>
      </c>
      <c r="DI23" s="76">
        <v>0.13960157007415316</v>
      </c>
      <c r="DJ23" s="76">
        <f t="shared" si="41"/>
        <v>1.3860729833054843</v>
      </c>
      <c r="DK23" s="89"/>
      <c r="DL23" s="31">
        <f t="shared" si="42"/>
        <v>2.7346741769566751</v>
      </c>
      <c r="DM23" s="76">
        <v>0.10864374919695106</v>
      </c>
      <c r="DN23" s="76">
        <v>0.33287740464367022</v>
      </c>
      <c r="DO23" s="76">
        <v>3.3646527313388873E-2</v>
      </c>
      <c r="DP23" s="76">
        <f t="shared" si="43"/>
        <v>0.36652393195705907</v>
      </c>
    </row>
    <row r="24" spans="1:120">
      <c r="A24" s="73" t="str">
        <f>name!B20</f>
        <v>Support services</v>
      </c>
      <c r="B24" s="31">
        <f t="shared" si="1"/>
        <v>2.784566936730104</v>
      </c>
      <c r="C24" s="11">
        <v>18.720999999999954</v>
      </c>
      <c r="D24" s="76">
        <v>-3.057999999999971</v>
      </c>
      <c r="E24" s="76">
        <v>5.9171529721011353</v>
      </c>
      <c r="F24" s="76">
        <f t="shared" si="2"/>
        <v>2.8591529721011644</v>
      </c>
      <c r="G24" s="76"/>
      <c r="H24" s="31">
        <f t="shared" si="3"/>
        <v>2.6966927781337358</v>
      </c>
      <c r="I24" s="76">
        <v>1.8191700717908714</v>
      </c>
      <c r="J24" s="76">
        <v>6.4644504245958259E-2</v>
      </c>
      <c r="K24" s="76">
        <v>0.55459579978511464</v>
      </c>
      <c r="L24" s="76">
        <f t="shared" si="4"/>
        <v>0.61924030403107289</v>
      </c>
      <c r="N24" s="31">
        <f t="shared" si="5"/>
        <v>2.6438542588397285</v>
      </c>
      <c r="O24" s="76">
        <v>7.3253420053436527</v>
      </c>
      <c r="P24" s="76">
        <v>-2.4007825753231029</v>
      </c>
      <c r="Q24" s="76">
        <v>2.1841522273672624</v>
      </c>
      <c r="R24" s="76">
        <f t="shared" si="6"/>
        <v>-0.21663034795584046</v>
      </c>
      <c r="S24" s="89"/>
      <c r="T24" s="31">
        <f t="shared" si="7"/>
        <v>2.9075064601009837</v>
      </c>
      <c r="U24" s="76">
        <v>9.5764879228654252</v>
      </c>
      <c r="V24" s="76">
        <v>-0.72186192892282663</v>
      </c>
      <c r="W24" s="76">
        <v>3.1784049449487575</v>
      </c>
      <c r="X24" s="76">
        <f t="shared" si="8"/>
        <v>2.4565430160259307</v>
      </c>
      <c r="Y24" s="73" t="str">
        <f t="shared" si="0"/>
        <v>Support services</v>
      </c>
      <c r="Z24" s="31">
        <f t="shared" si="9"/>
        <v>2.8851376822058405</v>
      </c>
      <c r="AA24" s="11">
        <v>10.861879630593116</v>
      </c>
      <c r="AB24" s="76">
        <v>-1.2989925832272919</v>
      </c>
      <c r="AC24" s="76">
        <v>3.5736065944117534</v>
      </c>
      <c r="AD24" s="76">
        <f t="shared" si="10"/>
        <v>2.2746140111844615</v>
      </c>
      <c r="AE24" s="76"/>
      <c r="AF24" s="31">
        <f t="shared" si="11"/>
        <v>2.8363041726111371</v>
      </c>
      <c r="AG24" s="76">
        <v>0.7258796023165236</v>
      </c>
      <c r="AH24" s="76">
        <v>0.20317213116103808</v>
      </c>
      <c r="AI24" s="76">
        <v>0.23424852857398526</v>
      </c>
      <c r="AJ24" s="76">
        <f t="shared" si="12"/>
        <v>0.43742065973502331</v>
      </c>
      <c r="AL24" s="31">
        <f t="shared" si="13"/>
        <v>2.7318188913306285</v>
      </c>
      <c r="AM24" s="76">
        <v>2.8702469151779071</v>
      </c>
      <c r="AN24" s="76">
        <v>-1.1155443530893807</v>
      </c>
      <c r="AO24" s="76">
        <v>0.88785915434127438</v>
      </c>
      <c r="AP24" s="76">
        <f t="shared" si="14"/>
        <v>-0.22768519874810633</v>
      </c>
      <c r="AQ24" s="89"/>
      <c r="AR24" s="31">
        <f t="shared" si="15"/>
        <v>2.949983891234198</v>
      </c>
      <c r="AS24" s="76">
        <v>7.2657531130986843</v>
      </c>
      <c r="AT24" s="76">
        <v>-0.38662036129894933</v>
      </c>
      <c r="AU24" s="76">
        <v>2.4514989114964938</v>
      </c>
      <c r="AV24" s="76">
        <f t="shared" si="16"/>
        <v>2.0648785501975446</v>
      </c>
      <c r="AW24" s="73" t="str">
        <f t="shared" si="17"/>
        <v>Support services</v>
      </c>
      <c r="AX24" s="31">
        <f t="shared" si="18"/>
        <v>2.6712682976482327</v>
      </c>
      <c r="AY24" s="11">
        <v>4.6040936604188767</v>
      </c>
      <c r="AZ24" s="76">
        <v>-0.6550004254648718</v>
      </c>
      <c r="BA24" s="76">
        <v>1.3887564948003865</v>
      </c>
      <c r="BB24" s="76">
        <f t="shared" si="19"/>
        <v>0.73375606933551474</v>
      </c>
      <c r="BC24" s="76"/>
      <c r="BD24" s="31">
        <f t="shared" si="20"/>
        <v>2.5535596624300272</v>
      </c>
      <c r="BE24" s="76">
        <v>0.37306162643140794</v>
      </c>
      <c r="BF24" s="76">
        <v>1.7209773799081063E-3</v>
      </c>
      <c r="BG24" s="76">
        <v>0.10699003130978606</v>
      </c>
      <c r="BH24" s="76">
        <f t="shared" si="21"/>
        <v>0.10871100868969416</v>
      </c>
      <c r="BJ24" s="31">
        <f t="shared" si="22"/>
        <v>2.6033003151062717</v>
      </c>
      <c r="BK24" s="76">
        <v>2.3193614224732308</v>
      </c>
      <c r="BL24" s="76">
        <v>-0.3840544144532913</v>
      </c>
      <c r="BM24" s="76">
        <v>0.67967495424035318</v>
      </c>
      <c r="BN24" s="76">
        <f t="shared" si="23"/>
        <v>0.29562053978706188</v>
      </c>
      <c r="BO24" s="89"/>
      <c r="BP24" s="31">
        <f t="shared" si="24"/>
        <v>2.7758580766296781</v>
      </c>
      <c r="BQ24" s="76">
        <v>1.9116706115142377</v>
      </c>
      <c r="BR24" s="76">
        <v>-0.27266698839148851</v>
      </c>
      <c r="BS24" s="76">
        <v>0.60209150925024713</v>
      </c>
      <c r="BT24" s="76">
        <f t="shared" si="25"/>
        <v>0.32942452085875862</v>
      </c>
      <c r="BU24" s="73" t="str">
        <f t="shared" si="26"/>
        <v>Support services</v>
      </c>
      <c r="BV24" s="31">
        <f t="shared" si="27"/>
        <v>2.5698479897015236</v>
      </c>
      <c r="BW24" s="11">
        <v>2.8786585131525628</v>
      </c>
      <c r="BX24" s="76">
        <v>-1.0291019906527104</v>
      </c>
      <c r="BY24" s="76">
        <v>0.83145560121971473</v>
      </c>
      <c r="BZ24" s="76">
        <f t="shared" si="28"/>
        <v>-0.19764638943299562</v>
      </c>
      <c r="CA24" s="76"/>
      <c r="CB24" s="31">
        <f t="shared" si="29"/>
        <v>2.5646022644531197</v>
      </c>
      <c r="CC24" s="76">
        <v>0.59910933522220677</v>
      </c>
      <c r="CD24" s="76">
        <v>-0.12449271037143683</v>
      </c>
      <c r="CE24" s="76">
        <v>0.17264857384459545</v>
      </c>
      <c r="CF24" s="76">
        <f t="shared" si="30"/>
        <v>4.8155863473158617E-2</v>
      </c>
      <c r="CH24" s="31">
        <f t="shared" si="31"/>
        <v>2.551043008047893</v>
      </c>
      <c r="CI24" s="76">
        <v>1.9475203609870202</v>
      </c>
      <c r="CJ24" s="76">
        <v>-0.84938831927492153</v>
      </c>
      <c r="CK24" s="76">
        <v>0.55791281892363431</v>
      </c>
      <c r="CL24" s="76">
        <f t="shared" si="32"/>
        <v>-0.29147550035128722</v>
      </c>
      <c r="CM24" s="89"/>
      <c r="CN24" s="31">
        <f t="shared" si="33"/>
        <v>2.6888973859664045</v>
      </c>
      <c r="CO24" s="76">
        <v>0.33202881694333602</v>
      </c>
      <c r="CP24" s="76">
        <v>-5.5220961006352098E-2</v>
      </c>
      <c r="CQ24" s="76">
        <v>0.10089420845148493</v>
      </c>
      <c r="CR24" s="76">
        <f t="shared" si="34"/>
        <v>4.5673247445132834E-2</v>
      </c>
      <c r="CS24" s="73" t="str">
        <f t="shared" si="35"/>
        <v>Support services</v>
      </c>
      <c r="CT24" s="31">
        <f t="shared" si="36"/>
        <v>2.8750024457964374</v>
      </c>
      <c r="CU24" s="11">
        <v>0.37636819583539599</v>
      </c>
      <c r="CV24" s="76">
        <v>-7.4905000655096768E-2</v>
      </c>
      <c r="CW24" s="76">
        <v>0.12333428166928057</v>
      </c>
      <c r="CX24" s="76">
        <f t="shared" si="37"/>
        <v>4.8429281014183798E-2</v>
      </c>
      <c r="CY24" s="76"/>
      <c r="CZ24" s="31">
        <f t="shared" si="38"/>
        <v>2.9399620026260287</v>
      </c>
      <c r="DA24" s="76">
        <v>0.12111950782073322</v>
      </c>
      <c r="DB24" s="76">
        <v>-1.5755893923551086E-2</v>
      </c>
      <c r="DC24" s="76">
        <v>4.0708666056747972E-2</v>
      </c>
      <c r="DD24" s="76">
        <f t="shared" si="39"/>
        <v>2.4952772133196886E-2</v>
      </c>
      <c r="DF24" s="31">
        <f t="shared" si="40"/>
        <v>2.7520154670829022</v>
      </c>
      <c r="DG24" s="76">
        <v>0.18821330670549469</v>
      </c>
      <c r="DH24" s="76">
        <v>-5.1795488505508955E-2</v>
      </c>
      <c r="DI24" s="76">
        <v>5.8705299862000827E-2</v>
      </c>
      <c r="DJ24" s="76">
        <f t="shared" si="41"/>
        <v>6.9098113564918726E-3</v>
      </c>
      <c r="DK24" s="89"/>
      <c r="DL24" s="31">
        <f t="shared" si="42"/>
        <v>3.0985559180604971</v>
      </c>
      <c r="DM24" s="76">
        <v>6.7035381309168043E-2</v>
      </c>
      <c r="DN24" s="76">
        <v>-7.3536182260367233E-3</v>
      </c>
      <c r="DO24" s="76">
        <v>2.3920315750531766E-2</v>
      </c>
      <c r="DP24" s="76">
        <f t="shared" si="43"/>
        <v>1.6566697524495043E-2</v>
      </c>
    </row>
    <row r="25" spans="1:120">
      <c r="A25" s="73" t="str">
        <f>name!B21</f>
        <v>Public admin. and defence</v>
      </c>
      <c r="B25" s="31">
        <f t="shared" si="1"/>
        <v>2.7845669367305037</v>
      </c>
      <c r="C25" s="11">
        <v>1.4539999999999971</v>
      </c>
      <c r="D25" s="76">
        <v>0.21500000000000094</v>
      </c>
      <c r="E25" s="76">
        <v>0.45956628499740532</v>
      </c>
      <c r="F25" s="76">
        <f t="shared" si="2"/>
        <v>0.67456628499740623</v>
      </c>
      <c r="G25" s="76"/>
      <c r="H25" s="31">
        <f t="shared" si="3"/>
        <v>2.6966927781336025</v>
      </c>
      <c r="I25" s="76">
        <v>0.14128910231210851</v>
      </c>
      <c r="J25" s="76">
        <v>5.9444251924195786E-2</v>
      </c>
      <c r="K25" s="76">
        <v>4.3073676239935618E-2</v>
      </c>
      <c r="L25" s="76">
        <f t="shared" si="4"/>
        <v>0.10251792816413141</v>
      </c>
      <c r="N25" s="31">
        <f t="shared" si="5"/>
        <v>2.6438542588399061</v>
      </c>
      <c r="O25" s="76">
        <v>0.56893580875873839</v>
      </c>
      <c r="P25" s="76">
        <v>-4.4190249880834614E-2</v>
      </c>
      <c r="Q25" s="76">
        <v>0.1696360952189005</v>
      </c>
      <c r="R25" s="76">
        <f t="shared" si="6"/>
        <v>0.12544584533806588</v>
      </c>
      <c r="S25" s="89"/>
      <c r="T25" s="31">
        <f t="shared" si="7"/>
        <v>2.9075064601016942</v>
      </c>
      <c r="U25" s="76">
        <v>0.74377508892915023</v>
      </c>
      <c r="V25" s="76">
        <v>0.1997459979566398</v>
      </c>
      <c r="W25" s="76">
        <v>0.24685651353856922</v>
      </c>
      <c r="X25" s="76">
        <f t="shared" si="8"/>
        <v>0.44660251149520902</v>
      </c>
      <c r="Y25" s="73" t="str">
        <f t="shared" si="0"/>
        <v>Public admin. and defence</v>
      </c>
      <c r="Z25" s="31">
        <f t="shared" si="9"/>
        <v>2.8851376822067953</v>
      </c>
      <c r="AA25" s="11">
        <v>0.84360733843630331</v>
      </c>
      <c r="AB25" s="76">
        <v>0.17538381792273638</v>
      </c>
      <c r="AC25" s="76">
        <v>0.27755055757017433</v>
      </c>
      <c r="AD25" s="76">
        <f t="shared" si="10"/>
        <v>0.45293437549291071</v>
      </c>
      <c r="AE25" s="76"/>
      <c r="AF25" s="31">
        <f t="shared" si="11"/>
        <v>2.8363041726107818</v>
      </c>
      <c r="AG25" s="76">
        <v>5.6376739584906382E-2</v>
      </c>
      <c r="AH25" s="76">
        <v>4.262009008845738E-2</v>
      </c>
      <c r="AI25" s="76">
        <v>1.819333158200891E-2</v>
      </c>
      <c r="AJ25" s="76">
        <f t="shared" si="12"/>
        <v>6.0813421670466286E-2</v>
      </c>
      <c r="AL25" s="31">
        <f t="shared" si="13"/>
        <v>2.7318188913314945</v>
      </c>
      <c r="AM25" s="76">
        <v>0.2229228681509284</v>
      </c>
      <c r="AN25" s="76">
        <v>-3.594728389981916E-2</v>
      </c>
      <c r="AO25" s="76">
        <v>6.895717164724055E-2</v>
      </c>
      <c r="AP25" s="76">
        <f t="shared" si="14"/>
        <v>3.300988774742139E-2</v>
      </c>
      <c r="AQ25" s="89"/>
      <c r="AR25" s="31">
        <f t="shared" si="15"/>
        <v>2.9499838912350862</v>
      </c>
      <c r="AS25" s="76">
        <v>0.56430773070046847</v>
      </c>
      <c r="AT25" s="76">
        <v>0.16871101173409817</v>
      </c>
      <c r="AU25" s="76">
        <v>0.1904000543409248</v>
      </c>
      <c r="AV25" s="76">
        <f t="shared" si="16"/>
        <v>0.35911106607502297</v>
      </c>
      <c r="AW25" s="73" t="str">
        <f t="shared" si="17"/>
        <v>Public admin. and defence</v>
      </c>
      <c r="AX25" s="31">
        <f t="shared" si="18"/>
        <v>2.6712682976481661</v>
      </c>
      <c r="AY25" s="11">
        <v>0.35758518146798612</v>
      </c>
      <c r="AZ25" s="76">
        <v>6.3217768742032318E-2</v>
      </c>
      <c r="BA25" s="76">
        <v>0.10786026085378261</v>
      </c>
      <c r="BB25" s="76">
        <f t="shared" si="19"/>
        <v>0.17107802959581492</v>
      </c>
      <c r="BC25" s="76"/>
      <c r="BD25" s="31">
        <f t="shared" si="20"/>
        <v>2.5535596624299828</v>
      </c>
      <c r="BE25" s="76">
        <v>2.8974499483491539E-2</v>
      </c>
      <c r="BF25" s="76">
        <v>1.0961155611916022E-2</v>
      </c>
      <c r="BG25" s="76">
        <v>8.3095724333202906E-3</v>
      </c>
      <c r="BH25" s="76">
        <f t="shared" si="21"/>
        <v>1.9270728045236312E-2</v>
      </c>
      <c r="BJ25" s="31">
        <f t="shared" si="22"/>
        <v>2.6033003151064049</v>
      </c>
      <c r="BK25" s="76">
        <v>0.18013735955834875</v>
      </c>
      <c r="BL25" s="76">
        <v>2.6082866221255052E-2</v>
      </c>
      <c r="BM25" s="76">
        <v>5.2788172825711882E-2</v>
      </c>
      <c r="BN25" s="76">
        <f t="shared" si="23"/>
        <v>7.8871039046966934E-2</v>
      </c>
      <c r="BO25" s="89"/>
      <c r="BP25" s="31">
        <f t="shared" si="24"/>
        <v>2.7758580766297891</v>
      </c>
      <c r="BQ25" s="76">
        <v>0.1484733224261458</v>
      </c>
      <c r="BR25" s="76">
        <v>2.6173746908861251E-2</v>
      </c>
      <c r="BS25" s="76">
        <v>4.6762515594750455E-2</v>
      </c>
      <c r="BT25" s="76">
        <f t="shared" si="25"/>
        <v>7.293626250361171E-2</v>
      </c>
      <c r="BU25" s="73" t="str">
        <f t="shared" si="26"/>
        <v>Public admin. and defence</v>
      </c>
      <c r="BV25" s="31">
        <f t="shared" si="27"/>
        <v>2.5698479897014792</v>
      </c>
      <c r="BW25" s="11">
        <v>0.22357616997639901</v>
      </c>
      <c r="BX25" s="76">
        <v>-2.6493246139725597E-2</v>
      </c>
      <c r="BY25" s="76">
        <v>6.4576488658442441E-2</v>
      </c>
      <c r="BZ25" s="76">
        <f t="shared" si="28"/>
        <v>3.8083242518716844E-2</v>
      </c>
      <c r="CA25" s="76"/>
      <c r="CB25" s="31">
        <f t="shared" si="29"/>
        <v>2.5646022644530531</v>
      </c>
      <c r="CC25" s="76">
        <v>4.6530899706966611E-2</v>
      </c>
      <c r="CD25" s="76">
        <v>4.0427545658888358E-3</v>
      </c>
      <c r="CE25" s="76">
        <v>1.3409060753716812E-2</v>
      </c>
      <c r="CF25" s="76">
        <f t="shared" si="30"/>
        <v>1.7451815319605646E-2</v>
      </c>
      <c r="CH25" s="31">
        <f t="shared" si="31"/>
        <v>2.5510430080478264</v>
      </c>
      <c r="CI25" s="76">
        <v>0.1512576574370198</v>
      </c>
      <c r="CJ25" s="76">
        <v>-3.4244162090111052E-2</v>
      </c>
      <c r="CK25" s="76">
        <v>4.3331298473152743E-2</v>
      </c>
      <c r="CL25" s="76">
        <f t="shared" si="32"/>
        <v>9.0871363830416912E-3</v>
      </c>
      <c r="CM25" s="89"/>
      <c r="CN25" s="31">
        <f t="shared" si="33"/>
        <v>2.6888973859667598</v>
      </c>
      <c r="CO25" s="76">
        <v>2.5787612832412595E-2</v>
      </c>
      <c r="CP25" s="76">
        <v>3.7081613844966248E-3</v>
      </c>
      <c r="CQ25" s="76">
        <v>7.836129431572891E-3</v>
      </c>
      <c r="CR25" s="76">
        <f t="shared" si="34"/>
        <v>1.1544290816069516E-2</v>
      </c>
      <c r="CS25" s="73" t="str">
        <f t="shared" si="35"/>
        <v>Public admin. and defence</v>
      </c>
      <c r="CT25" s="31">
        <f t="shared" si="36"/>
        <v>2.8750024457971257</v>
      </c>
      <c r="CU25" s="11">
        <v>2.9231310119308785E-2</v>
      </c>
      <c r="CV25" s="76">
        <v>2.8916594749578122E-3</v>
      </c>
      <c r="CW25" s="76">
        <v>9.578977915005971E-3</v>
      </c>
      <c r="CX25" s="76">
        <f t="shared" si="37"/>
        <v>1.2470637389963783E-2</v>
      </c>
      <c r="CY25" s="76"/>
      <c r="CZ25" s="31">
        <f t="shared" si="38"/>
        <v>2.9399620026260287</v>
      </c>
      <c r="DA25" s="76">
        <v>9.4069635367439817E-3</v>
      </c>
      <c r="DB25" s="76">
        <v>1.8202516579335466E-3</v>
      </c>
      <c r="DC25" s="76">
        <v>3.1617114708896062E-3</v>
      </c>
      <c r="DD25" s="76">
        <f t="shared" si="39"/>
        <v>4.9819631288231525E-3</v>
      </c>
      <c r="DF25" s="31">
        <f t="shared" si="40"/>
        <v>2.7520154670842789</v>
      </c>
      <c r="DG25" s="76">
        <v>1.4617923612441512E-2</v>
      </c>
      <c r="DH25" s="76">
        <v>-8.1670112159448079E-5</v>
      </c>
      <c r="DI25" s="76">
        <v>4.5594522727953144E-3</v>
      </c>
      <c r="DJ25" s="76">
        <f t="shared" si="41"/>
        <v>4.4777821606358662E-3</v>
      </c>
      <c r="DK25" s="89"/>
      <c r="DL25" s="31">
        <f t="shared" si="42"/>
        <v>3.0985559180585875</v>
      </c>
      <c r="DM25" s="76">
        <v>5.2064229701232886E-3</v>
      </c>
      <c r="DN25" s="76">
        <v>1.1530779291837137E-3</v>
      </c>
      <c r="DO25" s="76">
        <v>1.8578141713210513E-3</v>
      </c>
      <c r="DP25" s="76">
        <f t="shared" si="43"/>
        <v>3.0108921005047649E-3</v>
      </c>
    </row>
    <row r="26" spans="1:120">
      <c r="A26" s="73" t="str">
        <f>name!B22</f>
        <v>Education</v>
      </c>
      <c r="B26" s="31">
        <f t="shared" si="1"/>
        <v>2.7941946420653396</v>
      </c>
      <c r="C26" s="11">
        <v>27.519999999999932</v>
      </c>
      <c r="D26" s="76">
        <v>5.4400000000000306</v>
      </c>
      <c r="E26" s="76">
        <v>8.7321954612186001</v>
      </c>
      <c r="F26" s="76">
        <f t="shared" si="2"/>
        <v>14.172195461218632</v>
      </c>
      <c r="G26" s="76"/>
      <c r="H26" s="31">
        <f t="shared" si="3"/>
        <v>2.7029013910380817</v>
      </c>
      <c r="I26" s="76">
        <v>4.1940595367848887</v>
      </c>
      <c r="J26" s="76">
        <v>0.48827775119455635</v>
      </c>
      <c r="K26" s="76">
        <v>1.2819187642232284</v>
      </c>
      <c r="L26" s="76">
        <f t="shared" si="4"/>
        <v>1.7701965154177848</v>
      </c>
      <c r="N26" s="31">
        <f t="shared" si="5"/>
        <v>2.6641720196424856</v>
      </c>
      <c r="O26" s="76">
        <v>13.503625138933433</v>
      </c>
      <c r="P26" s="76">
        <v>0.84821921937760381</v>
      </c>
      <c r="Q26" s="76">
        <v>4.0610233469695309</v>
      </c>
      <c r="R26" s="76">
        <f t="shared" si="6"/>
        <v>4.9092425663471344</v>
      </c>
      <c r="S26" s="89"/>
      <c r="T26" s="31">
        <f t="shared" si="7"/>
        <v>3.008734431358584</v>
      </c>
      <c r="U26" s="76">
        <v>9.822315324281611</v>
      </c>
      <c r="V26" s="76">
        <v>4.1035030294278707</v>
      </c>
      <c r="W26" s="76">
        <v>3.3892533500258399</v>
      </c>
      <c r="X26" s="76">
        <f t="shared" si="8"/>
        <v>7.4927563794537111</v>
      </c>
      <c r="Y26" s="73" t="str">
        <f t="shared" si="0"/>
        <v>Education</v>
      </c>
      <c r="Z26" s="31">
        <f t="shared" si="9"/>
        <v>2.9117760664267189</v>
      </c>
      <c r="AA26" s="11">
        <v>12.395569669075353</v>
      </c>
      <c r="AB26" s="76">
        <v>5.0801062397678249</v>
      </c>
      <c r="AC26" s="76">
        <v>4.1209000120001473</v>
      </c>
      <c r="AD26" s="76">
        <f t="shared" si="10"/>
        <v>9.2010062517679714</v>
      </c>
      <c r="AE26" s="76"/>
      <c r="AF26" s="31">
        <f t="shared" si="11"/>
        <v>2.5937636321570645</v>
      </c>
      <c r="AG26" s="76">
        <v>0.81258397047140074</v>
      </c>
      <c r="AH26" s="76">
        <v>0.63966731573933144</v>
      </c>
      <c r="AI26" s="76">
        <v>0.23714666545277929</v>
      </c>
      <c r="AJ26" s="76">
        <f t="shared" si="12"/>
        <v>0.87681398119211074</v>
      </c>
      <c r="AL26" s="31">
        <f t="shared" si="13"/>
        <v>2.6939990649745837</v>
      </c>
      <c r="AM26" s="76">
        <v>4.0463139611233547</v>
      </c>
      <c r="AN26" s="76">
        <v>0.77655527040304539</v>
      </c>
      <c r="AO26" s="76">
        <v>1.2321825690004835</v>
      </c>
      <c r="AP26" s="76">
        <f t="shared" si="14"/>
        <v>2.0087378394035289</v>
      </c>
      <c r="AQ26" s="89"/>
      <c r="AR26" s="31">
        <f t="shared" si="15"/>
        <v>3.0604341026309489</v>
      </c>
      <c r="AS26" s="76">
        <v>7.5366717374805985</v>
      </c>
      <c r="AT26" s="76">
        <v>3.6638836536254487</v>
      </c>
      <c r="AU26" s="76">
        <v>2.6515707775468846</v>
      </c>
      <c r="AV26" s="76">
        <f t="shared" si="16"/>
        <v>6.3154544311723333</v>
      </c>
      <c r="AW26" s="73" t="str">
        <f t="shared" si="17"/>
        <v>Education</v>
      </c>
      <c r="AX26" s="31">
        <f t="shared" si="18"/>
        <v>2.6688337014858732</v>
      </c>
      <c r="AY26" s="11">
        <v>4.0745695684818486</v>
      </c>
      <c r="AZ26" s="76">
        <v>-0.65076923691411093</v>
      </c>
      <c r="BA26" s="76">
        <v>1.227775929825986</v>
      </c>
      <c r="BB26" s="76">
        <f t="shared" si="19"/>
        <v>0.57700669291187512</v>
      </c>
      <c r="BC26" s="76"/>
      <c r="BD26" s="31">
        <f t="shared" si="20"/>
        <v>2.5882032430875057</v>
      </c>
      <c r="BE26" s="76">
        <v>0.26691123725535981</v>
      </c>
      <c r="BF26" s="76">
        <v>-0.19380533282346687</v>
      </c>
      <c r="BG26" s="76">
        <v>7.7709251306618335E-2</v>
      </c>
      <c r="BH26" s="76">
        <f t="shared" si="21"/>
        <v>-0.11609608151684854</v>
      </c>
      <c r="BJ26" s="31">
        <f t="shared" si="22"/>
        <v>2.6104632834062169</v>
      </c>
      <c r="BK26" s="76">
        <v>2.4396136341847261</v>
      </c>
      <c r="BL26" s="76">
        <v>-0.51114595901616455</v>
      </c>
      <c r="BM26" s="76">
        <v>0.7171170827738349</v>
      </c>
      <c r="BN26" s="76">
        <f t="shared" si="23"/>
        <v>0.20597112375767035</v>
      </c>
      <c r="BO26" s="89"/>
      <c r="BP26" s="31">
        <f t="shared" si="24"/>
        <v>2.7877134101330858</v>
      </c>
      <c r="BQ26" s="76">
        <v>1.3680446970417623</v>
      </c>
      <c r="BR26" s="76">
        <v>5.4182054925520501E-2</v>
      </c>
      <c r="BS26" s="76">
        <v>0.43294959574553271</v>
      </c>
      <c r="BT26" s="76">
        <f t="shared" si="25"/>
        <v>0.48713165067105324</v>
      </c>
      <c r="BU26" s="73" t="str">
        <f t="shared" si="26"/>
        <v>Education</v>
      </c>
      <c r="BV26" s="31">
        <f t="shared" si="27"/>
        <v>2.5719174756100083</v>
      </c>
      <c r="BW26" s="11">
        <v>6.5723358416890418</v>
      </c>
      <c r="BX26" s="76">
        <v>-0.15751225654061013</v>
      </c>
      <c r="BY26" s="76">
        <v>1.9000258963583028</v>
      </c>
      <c r="BZ26" s="76">
        <f t="shared" si="28"/>
        <v>1.7425136398176926</v>
      </c>
      <c r="CA26" s="76"/>
      <c r="CB26" s="31">
        <f t="shared" si="29"/>
        <v>2.5863835000538682</v>
      </c>
      <c r="CC26" s="76">
        <v>1.6317851440554909</v>
      </c>
      <c r="CD26" s="76">
        <v>-0.43279551678413736</v>
      </c>
      <c r="CE26" s="76">
        <v>0.47470859686707906</v>
      </c>
      <c r="CF26" s="76">
        <f t="shared" si="30"/>
        <v>4.1913080082941701E-2</v>
      </c>
      <c r="CH26" s="31">
        <f t="shared" si="31"/>
        <v>2.542118825536166</v>
      </c>
      <c r="CI26" s="76">
        <v>4.3810752206434573</v>
      </c>
      <c r="CJ26" s="76">
        <v>2.5793305536142896E-2</v>
      </c>
      <c r="CK26" s="76">
        <v>1.250158852183944</v>
      </c>
      <c r="CL26" s="76">
        <f t="shared" si="32"/>
        <v>1.275952157720087</v>
      </c>
      <c r="CM26" s="89"/>
      <c r="CN26" s="31">
        <f t="shared" si="33"/>
        <v>2.7611586651374198</v>
      </c>
      <c r="CO26" s="76">
        <v>0.55947547699009315</v>
      </c>
      <c r="CP26" s="76">
        <v>0.24948995470738433</v>
      </c>
      <c r="CQ26" s="76">
        <v>0.17515844730727984</v>
      </c>
      <c r="CR26" s="76">
        <f t="shared" si="34"/>
        <v>0.42464840201466414</v>
      </c>
      <c r="CS26" s="73" t="str">
        <f t="shared" si="35"/>
        <v>Education</v>
      </c>
      <c r="CT26" s="31">
        <f t="shared" si="36"/>
        <v>2.9030497321535176</v>
      </c>
      <c r="CU26" s="11">
        <v>4.4775249207536891</v>
      </c>
      <c r="CV26" s="76">
        <v>1.168175253686927</v>
      </c>
      <c r="CW26" s="76">
        <v>1.4834936230341631</v>
      </c>
      <c r="CX26" s="76">
        <f t="shared" si="37"/>
        <v>2.6516688767210903</v>
      </c>
      <c r="CY26" s="76"/>
      <c r="CZ26" s="31">
        <f t="shared" si="38"/>
        <v>2.9086772572280095</v>
      </c>
      <c r="DA26" s="76">
        <v>1.4827791850026377</v>
      </c>
      <c r="DB26" s="76">
        <v>0.47521128506282911</v>
      </c>
      <c r="DC26" s="76">
        <v>0.4923542505967517</v>
      </c>
      <c r="DD26" s="76">
        <f t="shared" si="39"/>
        <v>0.96756553565958081</v>
      </c>
      <c r="DF26" s="31">
        <f t="shared" si="40"/>
        <v>2.8678141931647749</v>
      </c>
      <c r="DG26" s="76">
        <v>2.6366223229818955</v>
      </c>
      <c r="DH26" s="76">
        <v>0.55701660245458018</v>
      </c>
      <c r="DI26" s="76">
        <v>0.86156484301126879</v>
      </c>
      <c r="DJ26" s="76">
        <f t="shared" si="41"/>
        <v>1.418581445465849</v>
      </c>
      <c r="DK26" s="89"/>
      <c r="DL26" s="31">
        <f t="shared" si="42"/>
        <v>3.1363650139041965</v>
      </c>
      <c r="DM26" s="76">
        <v>0.35812341276915594</v>
      </c>
      <c r="DN26" s="76">
        <v>0.13594736616951764</v>
      </c>
      <c r="DO26" s="76">
        <v>0.12957452942614286</v>
      </c>
      <c r="DP26" s="76">
        <f t="shared" si="43"/>
        <v>0.26552189559566053</v>
      </c>
    </row>
    <row r="27" spans="1:120">
      <c r="A27" s="73" t="str">
        <f>name!B23</f>
        <v>Health and social work</v>
      </c>
      <c r="B27" s="31">
        <f t="shared" si="1"/>
        <v>2.5950961839178666</v>
      </c>
      <c r="C27" s="11">
        <v>275.60199999999969</v>
      </c>
      <c r="D27" s="76">
        <v>-1.6730000000003524</v>
      </c>
      <c r="E27" s="76">
        <v>80.47866678861341</v>
      </c>
      <c r="F27" s="76">
        <f t="shared" si="2"/>
        <v>78.805666788613053</v>
      </c>
      <c r="G27" s="76"/>
      <c r="H27" s="31">
        <f t="shared" si="3"/>
        <v>2.4695756737683316</v>
      </c>
      <c r="I27" s="76">
        <v>81.511675089783012</v>
      </c>
      <c r="J27" s="76">
        <v>-19.797720579312639</v>
      </c>
      <c r="K27" s="76">
        <v>22.520863469623457</v>
      </c>
      <c r="L27" s="76">
        <f t="shared" si="4"/>
        <v>2.7231428903108181</v>
      </c>
      <c r="N27" s="31">
        <f t="shared" si="5"/>
        <v>2.5552337751491017</v>
      </c>
      <c r="O27" s="76">
        <v>150.28991841904894</v>
      </c>
      <c r="P27" s="76">
        <v>8.7057795230669974</v>
      </c>
      <c r="Q27" s="76">
        <v>43.133091870505552</v>
      </c>
      <c r="R27" s="76">
        <f t="shared" si="6"/>
        <v>51.838871393572546</v>
      </c>
      <c r="S27" s="89"/>
      <c r="T27" s="31">
        <f t="shared" si="7"/>
        <v>2.9581093378684198</v>
      </c>
      <c r="U27" s="76">
        <v>43.800406491167763</v>
      </c>
      <c r="V27" s="76">
        <v>9.418941056245286</v>
      </c>
      <c r="W27" s="76">
        <v>14.824711448484381</v>
      </c>
      <c r="X27" s="76">
        <f t="shared" si="8"/>
        <v>24.243652504729667</v>
      </c>
      <c r="Y27" s="73" t="str">
        <f t="shared" si="0"/>
        <v>Health and social work</v>
      </c>
      <c r="Z27" s="31">
        <f t="shared" si="9"/>
        <v>3.1186773432537507</v>
      </c>
      <c r="AA27" s="11">
        <v>64.293915126009693</v>
      </c>
      <c r="AB27" s="76">
        <v>17.722549991381833</v>
      </c>
      <c r="AC27" s="76">
        <v>23.112480454512202</v>
      </c>
      <c r="AD27" s="76">
        <f t="shared" si="10"/>
        <v>40.835030445894034</v>
      </c>
      <c r="AE27" s="76"/>
      <c r="AF27" s="31">
        <f t="shared" si="11"/>
        <v>3.0783063740929206</v>
      </c>
      <c r="AG27" s="76">
        <v>9.9195473983854772</v>
      </c>
      <c r="AH27" s="76">
        <v>1.4973424642898829</v>
      </c>
      <c r="AI27" s="76">
        <v>3.5131923201060649</v>
      </c>
      <c r="AJ27" s="76">
        <f t="shared" si="12"/>
        <v>5.010534784395948</v>
      </c>
      <c r="AL27" s="31">
        <f t="shared" si="13"/>
        <v>3.1315372831501653</v>
      </c>
      <c r="AM27" s="76">
        <v>25.525698517196087</v>
      </c>
      <c r="AN27" s="76">
        <v>10.147584573449684</v>
      </c>
      <c r="AO27" s="76">
        <v>9.2193201705336563</v>
      </c>
      <c r="AP27" s="76">
        <f t="shared" si="14"/>
        <v>19.366904743983341</v>
      </c>
      <c r="AQ27" s="89"/>
      <c r="AR27" s="31">
        <f t="shared" si="15"/>
        <v>3.121149070624285</v>
      </c>
      <c r="AS27" s="76">
        <v>28.848669210428131</v>
      </c>
      <c r="AT27" s="76">
        <v>6.0776229536422628</v>
      </c>
      <c r="AU27" s="76">
        <v>10.379967963872479</v>
      </c>
      <c r="AV27" s="76">
        <f t="shared" si="16"/>
        <v>16.457590917514743</v>
      </c>
      <c r="AW27" s="73" t="str">
        <f t="shared" si="17"/>
        <v>Health and social work</v>
      </c>
      <c r="AX27" s="31">
        <f t="shared" si="18"/>
        <v>2.6759668403012915</v>
      </c>
      <c r="AY27" s="11">
        <v>16.521747365931887</v>
      </c>
      <c r="AZ27" s="76">
        <v>-0.90533997621618789</v>
      </c>
      <c r="BA27" s="76">
        <v>4.9933832774217386</v>
      </c>
      <c r="BB27" s="76">
        <f t="shared" si="19"/>
        <v>4.088043301205551</v>
      </c>
      <c r="BC27" s="76"/>
      <c r="BD27" s="31">
        <f t="shared" si="20"/>
        <v>2.5787165892088737</v>
      </c>
      <c r="BE27" s="76">
        <v>2.1756544236878499</v>
      </c>
      <c r="BF27" s="76">
        <v>-0.17162265131127769</v>
      </c>
      <c r="BG27" s="76">
        <v>0.63082928217437373</v>
      </c>
      <c r="BH27" s="76">
        <f t="shared" si="21"/>
        <v>0.45920663086309604</v>
      </c>
      <c r="BJ27" s="31">
        <f t="shared" si="22"/>
        <v>2.6312555462310261</v>
      </c>
      <c r="BK27" s="76">
        <v>8.5774116106248197</v>
      </c>
      <c r="BL27" s="76">
        <v>-1.3110321038488253</v>
      </c>
      <c r="BM27" s="76">
        <v>2.5438144946044696</v>
      </c>
      <c r="BN27" s="76">
        <f t="shared" si="23"/>
        <v>1.2327823907556443</v>
      </c>
      <c r="BO27" s="89"/>
      <c r="BP27" s="31">
        <f t="shared" si="24"/>
        <v>2.7783786676990552</v>
      </c>
      <c r="BQ27" s="76">
        <v>5.7686813316192156</v>
      </c>
      <c r="BR27" s="76">
        <v>0.57731477894391503</v>
      </c>
      <c r="BS27" s="76">
        <v>1.8187395006428966</v>
      </c>
      <c r="BT27" s="76">
        <f t="shared" si="25"/>
        <v>2.3960542795868118</v>
      </c>
      <c r="BU27" s="73" t="str">
        <f t="shared" si="26"/>
        <v>Health and social work</v>
      </c>
      <c r="BV27" s="31">
        <f t="shared" si="27"/>
        <v>2.4185311777933372</v>
      </c>
      <c r="BW27" s="11">
        <v>185.64731569674743</v>
      </c>
      <c r="BX27" s="76">
        <v>-20.042065793695048</v>
      </c>
      <c r="BY27" s="76">
        <v>50.114846449207548</v>
      </c>
      <c r="BZ27" s="76">
        <f t="shared" si="28"/>
        <v>30.072780655512499</v>
      </c>
      <c r="CA27" s="76"/>
      <c r="CB27" s="31">
        <f t="shared" si="29"/>
        <v>2.3870453919311752</v>
      </c>
      <c r="CC27" s="76">
        <v>65.07948365464064</v>
      </c>
      <c r="CD27" s="76">
        <v>-20.422001047817911</v>
      </c>
      <c r="CE27" s="76">
        <v>17.314254108560334</v>
      </c>
      <c r="CF27" s="76">
        <f t="shared" si="30"/>
        <v>-3.1077469392575772</v>
      </c>
      <c r="CH27" s="31">
        <f t="shared" si="31"/>
        <v>2.4258065702267961</v>
      </c>
      <c r="CI27" s="76">
        <v>111.69445579336453</v>
      </c>
      <c r="CJ27" s="76">
        <v>-1.7999732059359685</v>
      </c>
      <c r="CK27" s="76">
        <v>30.252323208272195</v>
      </c>
      <c r="CL27" s="76">
        <f t="shared" si="32"/>
        <v>28.452350002336225</v>
      </c>
      <c r="CM27" s="89"/>
      <c r="CN27" s="31">
        <f t="shared" si="33"/>
        <v>2.5566857264312626</v>
      </c>
      <c r="CO27" s="76">
        <v>8.8733762487422378</v>
      </c>
      <c r="CP27" s="76">
        <v>2.1799084600588299</v>
      </c>
      <c r="CQ27" s="76">
        <v>2.5482691323750268</v>
      </c>
      <c r="CR27" s="76">
        <f t="shared" si="34"/>
        <v>4.7281775924338572</v>
      </c>
      <c r="CS27" s="73" t="str">
        <f t="shared" si="35"/>
        <v>Health and social work</v>
      </c>
      <c r="CT27" s="31">
        <f t="shared" si="36"/>
        <v>2.2325047123997521</v>
      </c>
      <c r="CU27" s="11">
        <v>9.139021811310748</v>
      </c>
      <c r="CV27" s="76">
        <v>1.5518557785290545</v>
      </c>
      <c r="CW27" s="76">
        <v>2.2579566074718973</v>
      </c>
      <c r="CX27" s="76">
        <f t="shared" si="37"/>
        <v>3.8098123860009521</v>
      </c>
      <c r="CY27" s="76"/>
      <c r="CZ27" s="31">
        <f t="shared" si="38"/>
        <v>2.2155897378276945</v>
      </c>
      <c r="DA27" s="76">
        <v>4.3369896130690391</v>
      </c>
      <c r="DB27" s="76">
        <v>-0.70143934447333278</v>
      </c>
      <c r="DC27" s="76">
        <v>1.0625877587826875</v>
      </c>
      <c r="DD27" s="76">
        <f t="shared" si="39"/>
        <v>0.36114841430935474</v>
      </c>
      <c r="DF27" s="31">
        <f t="shared" si="40"/>
        <v>2.2465820104417666</v>
      </c>
      <c r="DG27" s="76">
        <v>4.4923524978635268</v>
      </c>
      <c r="DH27" s="76">
        <v>1.6692002594021076</v>
      </c>
      <c r="DI27" s="76">
        <v>1.1176339970952323</v>
      </c>
      <c r="DJ27" s="76">
        <f t="shared" si="41"/>
        <v>2.7868342564973396</v>
      </c>
      <c r="DK27" s="89"/>
      <c r="DL27" s="31">
        <f t="shared" si="42"/>
        <v>2.2648343335861076</v>
      </c>
      <c r="DM27" s="76">
        <v>0.30967970037818215</v>
      </c>
      <c r="DN27" s="76">
        <v>0.58409486360027985</v>
      </c>
      <c r="DO27" s="76">
        <v>7.7734851593977319E-2</v>
      </c>
      <c r="DP27" s="76">
        <f t="shared" si="43"/>
        <v>0.66182971519425715</v>
      </c>
    </row>
    <row r="28" spans="1:120">
      <c r="A28" s="73" t="str">
        <f>name!B24</f>
        <v>Arts and entertainment</v>
      </c>
      <c r="B28" s="31">
        <f t="shared" si="1"/>
        <v>2.6894345447805668</v>
      </c>
      <c r="C28" s="11">
        <v>583.99199872311158</v>
      </c>
      <c r="D28" s="76">
        <v>22.974992839555728</v>
      </c>
      <c r="E28" s="76">
        <v>177.49855672479771</v>
      </c>
      <c r="F28" s="76">
        <f t="shared" si="2"/>
        <v>200.47354956435345</v>
      </c>
      <c r="G28" s="76"/>
      <c r="H28" s="31">
        <f t="shared" si="3"/>
        <v>2.5241340757117703</v>
      </c>
      <c r="I28" s="76">
        <v>112.61142831364945</v>
      </c>
      <c r="J28" s="76">
        <v>-19.950461975362895</v>
      </c>
      <c r="K28" s="76">
        <v>31.880492992433172</v>
      </c>
      <c r="L28" s="76">
        <f t="shared" si="4"/>
        <v>11.930031017070277</v>
      </c>
      <c r="N28" s="31">
        <f t="shared" si="5"/>
        <v>2.5965813402446081</v>
      </c>
      <c r="O28" s="76">
        <v>322.09728549501801</v>
      </c>
      <c r="P28" s="76">
        <v>22.98072850143604</v>
      </c>
      <c r="Q28" s="76">
        <v>94.116022316887069</v>
      </c>
      <c r="R28" s="76">
        <f t="shared" si="6"/>
        <v>117.0967508183231</v>
      </c>
      <c r="S28" s="89"/>
      <c r="T28" s="31">
        <f t="shared" si="7"/>
        <v>3.0082665428908584</v>
      </c>
      <c r="U28" s="76">
        <v>149.28328491444404</v>
      </c>
      <c r="V28" s="76">
        <v>19.94472631348258</v>
      </c>
      <c r="W28" s="76">
        <v>51.5020414154775</v>
      </c>
      <c r="X28" s="76">
        <f t="shared" si="8"/>
        <v>71.446767728960083</v>
      </c>
      <c r="Y28" s="73" t="str">
        <f t="shared" si="0"/>
        <v>Arts and entertainment</v>
      </c>
      <c r="Z28" s="31">
        <f t="shared" si="9"/>
        <v>3.2588943559272998</v>
      </c>
      <c r="AA28" s="11">
        <v>161.66137310285907</v>
      </c>
      <c r="AB28" s="76">
        <v>1.3326548882882316</v>
      </c>
      <c r="AC28" s="76">
        <v>61.121073231490051</v>
      </c>
      <c r="AD28" s="76">
        <f t="shared" si="10"/>
        <v>62.453728119778283</v>
      </c>
      <c r="AE28" s="76"/>
      <c r="AF28" s="31">
        <f t="shared" si="11"/>
        <v>3.2768095159466437</v>
      </c>
      <c r="AG28" s="76">
        <v>13.303128548274954</v>
      </c>
      <c r="AH28" s="76">
        <v>-1.9338514027227476</v>
      </c>
      <c r="AI28" s="76">
        <v>5.0614902397360089</v>
      </c>
      <c r="AJ28" s="76">
        <f t="shared" si="12"/>
        <v>3.1276388370132615</v>
      </c>
      <c r="AL28" s="31">
        <f t="shared" si="13"/>
        <v>3.2222682296140004</v>
      </c>
      <c r="AM28" s="76">
        <v>61.167755464113846</v>
      </c>
      <c r="AN28" s="76">
        <v>-4.1267654969595462</v>
      </c>
      <c r="AO28" s="76">
        <v>22.827842408062001</v>
      </c>
      <c r="AP28" s="76">
        <f t="shared" si="14"/>
        <v>18.701076911102454</v>
      </c>
      <c r="AQ28" s="89"/>
      <c r="AR28" s="31">
        <f t="shared" si="15"/>
        <v>3.2817897264484586</v>
      </c>
      <c r="AS28" s="76">
        <v>87.190489090470265</v>
      </c>
      <c r="AT28" s="76">
        <v>7.3932717879705248</v>
      </c>
      <c r="AU28" s="76">
        <v>33.231740583692044</v>
      </c>
      <c r="AV28" s="76">
        <f t="shared" si="16"/>
        <v>40.625012371662571</v>
      </c>
      <c r="AW28" s="73" t="str">
        <f t="shared" si="17"/>
        <v>Arts and entertainment</v>
      </c>
      <c r="AX28" s="31">
        <f t="shared" si="18"/>
        <v>2.4581982255185597</v>
      </c>
      <c r="AY28" s="11">
        <v>274.12096692663408</v>
      </c>
      <c r="AZ28" s="76">
        <v>19.909375624336565</v>
      </c>
      <c r="BA28" s="76">
        <v>75.348629505054475</v>
      </c>
      <c r="BB28" s="76">
        <f t="shared" si="19"/>
        <v>95.258005129391037</v>
      </c>
      <c r="BC28" s="76"/>
      <c r="BD28" s="31">
        <f t="shared" si="20"/>
        <v>2.3965751535212299</v>
      </c>
      <c r="BE28" s="76">
        <v>52.434042602494252</v>
      </c>
      <c r="BF28" s="76">
        <v>-10.478560037555006</v>
      </c>
      <c r="BG28" s="76">
        <v>14.01177557326081</v>
      </c>
      <c r="BH28" s="76">
        <f t="shared" si="21"/>
        <v>3.5332155357058035</v>
      </c>
      <c r="BJ28" s="31">
        <f t="shared" si="22"/>
        <v>2.4303568044377055</v>
      </c>
      <c r="BK28" s="76">
        <v>169.82026195600062</v>
      </c>
      <c r="BL28" s="76">
        <v>22.045877770222617</v>
      </c>
      <c r="BM28" s="76">
        <v>46.091529986569107</v>
      </c>
      <c r="BN28" s="76">
        <f t="shared" si="23"/>
        <v>68.137407756791731</v>
      </c>
      <c r="BO28" s="89"/>
      <c r="BP28" s="31">
        <f t="shared" si="24"/>
        <v>2.6103523894776215</v>
      </c>
      <c r="BQ28" s="76">
        <v>51.866662368139195</v>
      </c>
      <c r="BR28" s="76">
        <v>8.3420578916689543</v>
      </c>
      <c r="BS28" s="76">
        <v>15.245323945224559</v>
      </c>
      <c r="BT28" s="76">
        <f t="shared" si="25"/>
        <v>23.587381836893513</v>
      </c>
      <c r="BU28" s="73" t="str">
        <f t="shared" si="26"/>
        <v>Arts and entertainment</v>
      </c>
      <c r="BV28" s="31">
        <f t="shared" si="27"/>
        <v>2.5546872517099084</v>
      </c>
      <c r="BW28" s="11">
        <v>107.2598983032326</v>
      </c>
      <c r="BX28" s="76">
        <v>-4.6347125764802879</v>
      </c>
      <c r="BY28" s="76">
        <v>30.776152696349076</v>
      </c>
      <c r="BZ28" s="76">
        <f t="shared" si="28"/>
        <v>26.14144011986879</v>
      </c>
      <c r="CA28" s="76"/>
      <c r="CB28" s="31">
        <f t="shared" si="29"/>
        <v>2.4937117735407188</v>
      </c>
      <c r="CC28" s="76">
        <v>30.58519142119675</v>
      </c>
      <c r="CD28" s="76">
        <v>-4.9664708583329622</v>
      </c>
      <c r="CE28" s="76">
        <v>8.5424270700257328</v>
      </c>
      <c r="CF28" s="76">
        <f t="shared" si="30"/>
        <v>3.5759562116927706</v>
      </c>
      <c r="CH28" s="31">
        <f t="shared" si="31"/>
        <v>2.5657893609980054</v>
      </c>
      <c r="CI28" s="76">
        <v>68.527793794387208</v>
      </c>
      <c r="CJ28" s="76">
        <v>-2.6111534978573356</v>
      </c>
      <c r="CK28" s="76">
        <v>19.75824225652681</v>
      </c>
      <c r="CL28" s="76">
        <f t="shared" si="32"/>
        <v>17.147088758669476</v>
      </c>
      <c r="CM28" s="89"/>
      <c r="CN28" s="31">
        <f t="shared" si="33"/>
        <v>2.6887677275016175</v>
      </c>
      <c r="CO28" s="76">
        <v>8.1469130876486417</v>
      </c>
      <c r="CP28" s="76">
        <v>2.9429117797100104</v>
      </c>
      <c r="CQ28" s="76">
        <v>2.4754833697965344</v>
      </c>
      <c r="CR28" s="76">
        <f t="shared" si="34"/>
        <v>5.4183951495065443</v>
      </c>
      <c r="CS28" s="73" t="str">
        <f t="shared" si="35"/>
        <v>Arts and entertainment</v>
      </c>
      <c r="CT28" s="31">
        <f t="shared" si="36"/>
        <v>2.2595665716523383</v>
      </c>
      <c r="CU28" s="11">
        <v>40.949760390385762</v>
      </c>
      <c r="CV28" s="76">
        <v>6.3676749034112179</v>
      </c>
      <c r="CW28" s="76">
        <v>10.252701291904129</v>
      </c>
      <c r="CX28" s="76">
        <f t="shared" si="37"/>
        <v>16.620376195315348</v>
      </c>
      <c r="CY28" s="76"/>
      <c r="CZ28" s="31">
        <f t="shared" si="38"/>
        <v>2.3528014807572273</v>
      </c>
      <c r="DA28" s="76">
        <v>16.289065741683487</v>
      </c>
      <c r="DB28" s="76">
        <v>-2.5715796767521768</v>
      </c>
      <c r="DC28" s="76">
        <v>4.264800109410622</v>
      </c>
      <c r="DD28" s="76">
        <f t="shared" si="39"/>
        <v>1.6932204326584452</v>
      </c>
      <c r="DF28" s="31">
        <f t="shared" si="40"/>
        <v>2.1812946342883111</v>
      </c>
      <c r="DG28" s="76">
        <v>22.581474280516332</v>
      </c>
      <c r="DH28" s="76">
        <v>7.6727697260303049</v>
      </c>
      <c r="DI28" s="76">
        <v>5.438407665729156</v>
      </c>
      <c r="DJ28" s="76">
        <f t="shared" si="41"/>
        <v>13.111177391759462</v>
      </c>
      <c r="DK28" s="89"/>
      <c r="DL28" s="31">
        <f t="shared" si="42"/>
        <v>2.372728806531299</v>
      </c>
      <c r="DM28" s="76">
        <v>2.0792203681859425</v>
      </c>
      <c r="DN28" s="76">
        <v>1.2664848541330906</v>
      </c>
      <c r="DO28" s="76">
        <v>0.54949351676435321</v>
      </c>
      <c r="DP28" s="76">
        <f t="shared" si="43"/>
        <v>1.8159783708974437</v>
      </c>
    </row>
    <row r="29" spans="1:120">
      <c r="A29" s="73" t="str">
        <f>name!B25</f>
        <v>Other services</v>
      </c>
      <c r="B29" s="31">
        <f t="shared" si="1"/>
        <v>2.7838069142694266</v>
      </c>
      <c r="C29" s="11">
        <v>108.16125170522943</v>
      </c>
      <c r="D29" s="76">
        <v>8.1774730396989117</v>
      </c>
      <c r="E29" s="76">
        <v>34.176039083117807</v>
      </c>
      <c r="F29" s="76">
        <f t="shared" si="2"/>
        <v>42.353512122816717</v>
      </c>
      <c r="G29" s="76"/>
      <c r="H29" s="31">
        <f t="shared" si="3"/>
        <v>2.6834266880037649</v>
      </c>
      <c r="I29" s="76">
        <v>32.326959698464499</v>
      </c>
      <c r="J29" s="76">
        <v>-6.1167969801013387</v>
      </c>
      <c r="K29" s="76">
        <v>9.8008028887364027</v>
      </c>
      <c r="L29" s="76">
        <f t="shared" si="4"/>
        <v>3.6840059086350641</v>
      </c>
      <c r="N29" s="31">
        <f t="shared" si="5"/>
        <v>2.7760834170330817</v>
      </c>
      <c r="O29" s="76">
        <v>57.398886868822629</v>
      </c>
      <c r="P29" s="76">
        <v>7.6406602287910461</v>
      </c>
      <c r="Q29" s="76">
        <v>18.079760081959783</v>
      </c>
      <c r="R29" s="76">
        <f t="shared" si="6"/>
        <v>25.720420310750828</v>
      </c>
      <c r="S29" s="89"/>
      <c r="T29" s="31">
        <f t="shared" si="7"/>
        <v>2.981376043016648</v>
      </c>
      <c r="U29" s="76">
        <v>18.435405137942325</v>
      </c>
      <c r="V29" s="76">
        <v>6.6536097910092034</v>
      </c>
      <c r="W29" s="76">
        <v>6.2954761124216301</v>
      </c>
      <c r="X29" s="76">
        <f t="shared" si="8"/>
        <v>12.949085903430834</v>
      </c>
      <c r="Y29" s="73" t="str">
        <f t="shared" si="0"/>
        <v>Other services</v>
      </c>
      <c r="Z29" s="31">
        <f t="shared" si="9"/>
        <v>3.3946693153821483</v>
      </c>
      <c r="AA29" s="11">
        <v>18.73707769261355</v>
      </c>
      <c r="AB29" s="76">
        <v>3.9696712217231607</v>
      </c>
      <c r="AC29" s="76">
        <v>7.4256694078981278</v>
      </c>
      <c r="AD29" s="76">
        <f t="shared" si="10"/>
        <v>11.395340629621288</v>
      </c>
      <c r="AE29" s="76"/>
      <c r="AF29" s="31">
        <f t="shared" si="11"/>
        <v>3.6016336348735356</v>
      </c>
      <c r="AG29" s="76">
        <v>2.3415431027696858</v>
      </c>
      <c r="AH29" s="76">
        <v>0.24514900613498003</v>
      </c>
      <c r="AI29" s="76">
        <v>0.99401256180311637</v>
      </c>
      <c r="AJ29" s="76">
        <f t="shared" si="12"/>
        <v>1.2391615679380963</v>
      </c>
      <c r="AL29" s="31">
        <f t="shared" si="13"/>
        <v>3.5014338519299582</v>
      </c>
      <c r="AM29" s="76">
        <v>8.1965364975682427</v>
      </c>
      <c r="AN29" s="76">
        <v>1.8824630168780692</v>
      </c>
      <c r="AO29" s="76">
        <v>3.3670895885720658</v>
      </c>
      <c r="AP29" s="76">
        <f t="shared" si="14"/>
        <v>5.2495526054501349</v>
      </c>
      <c r="AQ29" s="89"/>
      <c r="AR29" s="31">
        <f t="shared" si="15"/>
        <v>3.2265730612790922</v>
      </c>
      <c r="AS29" s="76">
        <v>8.1989980922756232</v>
      </c>
      <c r="AT29" s="76">
        <v>1.8420591987101114</v>
      </c>
      <c r="AU29" s="76">
        <v>3.0645672575229463</v>
      </c>
      <c r="AV29" s="76">
        <f t="shared" si="16"/>
        <v>4.9066264562330577</v>
      </c>
      <c r="AW29" s="73" t="str">
        <f t="shared" si="17"/>
        <v>Other services</v>
      </c>
      <c r="AX29" s="31">
        <f t="shared" si="18"/>
        <v>2.6483238273837584</v>
      </c>
      <c r="AY29" s="11">
        <v>19.032176889267678</v>
      </c>
      <c r="AZ29" s="76">
        <v>1.0956652491419592</v>
      </c>
      <c r="BA29" s="76">
        <v>5.685467852803928</v>
      </c>
      <c r="BB29" s="76">
        <f t="shared" si="19"/>
        <v>6.7811331019458869</v>
      </c>
      <c r="BC29" s="76"/>
      <c r="BD29" s="31">
        <f t="shared" si="20"/>
        <v>2.5698311582555533</v>
      </c>
      <c r="BE29" s="76">
        <v>3.4123327833961343</v>
      </c>
      <c r="BF29" s="76">
        <v>-0.44962292514756064</v>
      </c>
      <c r="BG29" s="76">
        <v>0.9855918713750732</v>
      </c>
      <c r="BH29" s="76">
        <f t="shared" si="21"/>
        <v>0.53596894622751257</v>
      </c>
      <c r="BJ29" s="31">
        <f t="shared" si="22"/>
        <v>2.6113519594407553</v>
      </c>
      <c r="BK29" s="76">
        <v>10.441678809376455</v>
      </c>
      <c r="BL29" s="76">
        <v>0.67813132541245391</v>
      </c>
      <c r="BM29" s="76">
        <v>3.0704702368243959</v>
      </c>
      <c r="BN29" s="76">
        <f t="shared" si="23"/>
        <v>3.7486015622368498</v>
      </c>
      <c r="BO29" s="89"/>
      <c r="BP29" s="31">
        <f t="shared" si="24"/>
        <v>2.7736136732418482</v>
      </c>
      <c r="BQ29" s="76">
        <v>5.1781652964950879</v>
      </c>
      <c r="BR29" s="76">
        <v>0.86715684887706568</v>
      </c>
      <c r="BS29" s="76">
        <v>1.6294057446044583</v>
      </c>
      <c r="BT29" s="76">
        <f t="shared" si="25"/>
        <v>2.4965625934815239</v>
      </c>
      <c r="BU29" s="73" t="str">
        <f t="shared" si="26"/>
        <v>Other services</v>
      </c>
      <c r="BV29" s="31">
        <f t="shared" si="27"/>
        <v>2.6772484709001398</v>
      </c>
      <c r="BW29" s="11">
        <v>66.201397878138252</v>
      </c>
      <c r="BX29" s="76">
        <v>1.2456325163985658</v>
      </c>
      <c r="BY29" s="76">
        <v>20.01887239295467</v>
      </c>
      <c r="BZ29" s="76">
        <f t="shared" si="28"/>
        <v>21.264504909353235</v>
      </c>
      <c r="CA29" s="76"/>
      <c r="CB29" s="31">
        <f t="shared" si="29"/>
        <v>2.6461497895164943</v>
      </c>
      <c r="CC29" s="76">
        <v>24.360601420401576</v>
      </c>
      <c r="CD29" s="76">
        <v>-5.6900213912272246</v>
      </c>
      <c r="CE29" s="76">
        <v>7.2705240080694988</v>
      </c>
      <c r="CF29" s="76">
        <f t="shared" si="30"/>
        <v>1.5805026168422742</v>
      </c>
      <c r="CH29" s="31">
        <f t="shared" si="31"/>
        <v>2.6783758996457463</v>
      </c>
      <c r="CI29" s="76">
        <v>37.050128855405674</v>
      </c>
      <c r="CJ29" s="76">
        <v>3.896536363658667</v>
      </c>
      <c r="CK29" s="76">
        <v>11.209016818125267</v>
      </c>
      <c r="CL29" s="76">
        <f t="shared" si="32"/>
        <v>15.105553181783934</v>
      </c>
      <c r="CM29" s="89"/>
      <c r="CN29" s="31">
        <f t="shared" si="33"/>
        <v>2.8254837692558654</v>
      </c>
      <c r="CO29" s="76">
        <v>4.7906676023310046</v>
      </c>
      <c r="CP29" s="76">
        <v>3.0391175439671234</v>
      </c>
      <c r="CQ29" s="76">
        <v>1.5393315667599037</v>
      </c>
      <c r="CR29" s="76">
        <f t="shared" si="34"/>
        <v>4.5784491107270266</v>
      </c>
      <c r="CS29" s="73" t="str">
        <f t="shared" si="35"/>
        <v>Other services</v>
      </c>
      <c r="CT29" s="31">
        <f t="shared" si="36"/>
        <v>2.2533546481934286</v>
      </c>
      <c r="CU29" s="11">
        <v>4.1905992452099587</v>
      </c>
      <c r="CV29" s="76">
        <v>1.8665040524352257</v>
      </c>
      <c r="CW29" s="76">
        <v>1.046029429461087</v>
      </c>
      <c r="CX29" s="76">
        <f t="shared" si="37"/>
        <v>2.9125334818963129</v>
      </c>
      <c r="CY29" s="76"/>
      <c r="CZ29" s="31">
        <f t="shared" si="38"/>
        <v>2.2474701591650437</v>
      </c>
      <c r="DA29" s="76">
        <v>2.2124823918971015</v>
      </c>
      <c r="DB29" s="76">
        <v>-0.22230166986153393</v>
      </c>
      <c r="DC29" s="76">
        <v>0.55067444748871397</v>
      </c>
      <c r="DD29" s="76">
        <f t="shared" si="39"/>
        <v>0.32837277762718003</v>
      </c>
      <c r="DF29" s="31">
        <f t="shared" si="40"/>
        <v>2.2830190168655617</v>
      </c>
      <c r="DG29" s="76">
        <v>1.7105427064722503</v>
      </c>
      <c r="DH29" s="76">
        <v>1.1835295228418568</v>
      </c>
      <c r="DI29" s="76">
        <v>0.43318343843805091</v>
      </c>
      <c r="DJ29" s="76">
        <f t="shared" si="41"/>
        <v>1.6167129612799076</v>
      </c>
      <c r="DK29" s="89"/>
      <c r="DL29" s="31">
        <f t="shared" si="42"/>
        <v>2.1112277164391235</v>
      </c>
      <c r="DM29" s="76">
        <v>0.26757414684060715</v>
      </c>
      <c r="DN29" s="76">
        <v>0.90527619945490279</v>
      </c>
      <c r="DO29" s="76">
        <v>6.2171543534321853E-2</v>
      </c>
      <c r="DP29" s="76">
        <f t="shared" si="43"/>
        <v>0.96744774298922465</v>
      </c>
    </row>
    <row r="30" spans="1:120">
      <c r="A30" s="73">
        <f>name!B26</f>
        <v>0</v>
      </c>
      <c r="B30" s="31">
        <f t="shared" si="1"/>
        <v>2.81853341281606</v>
      </c>
      <c r="C30" s="11">
        <v>3.6239999999999957</v>
      </c>
      <c r="D30" s="76">
        <v>0.24699999999999425</v>
      </c>
      <c r="E30" s="76">
        <v>1.161223619177874</v>
      </c>
      <c r="F30" s="76">
        <f t="shared" si="2"/>
        <v>1.4082236191778683</v>
      </c>
      <c r="G30" s="76"/>
      <c r="H30" s="31">
        <f t="shared" si="3"/>
        <v>2.6181998345442992</v>
      </c>
      <c r="I30" s="76">
        <v>0.8854137576985297</v>
      </c>
      <c r="J30" s="76">
        <v>-0.37920842251297887</v>
      </c>
      <c r="K30" s="76">
        <v>0.26112881202833382</v>
      </c>
      <c r="L30" s="76">
        <f t="shared" si="4"/>
        <v>-0.11807961048464505</v>
      </c>
      <c r="N30" s="31">
        <f t="shared" si="5"/>
        <v>2.6529788153066836</v>
      </c>
      <c r="O30" s="76">
        <v>1.3832584282800451</v>
      </c>
      <c r="P30" s="76">
        <v>0.23337200314420425</v>
      </c>
      <c r="Q30" s="76">
        <v>0.41403459662136033</v>
      </c>
      <c r="R30" s="76">
        <f t="shared" si="6"/>
        <v>0.64740659976556458</v>
      </c>
      <c r="S30" s="89"/>
      <c r="T30" s="31">
        <f t="shared" si="7"/>
        <v>3.1122102767148885</v>
      </c>
      <c r="U30" s="76">
        <v>1.3553278140214204</v>
      </c>
      <c r="V30" s="76">
        <v>0.39283641936876895</v>
      </c>
      <c r="W30" s="76">
        <v>0.48606021052817994</v>
      </c>
      <c r="X30" s="76">
        <f t="shared" si="8"/>
        <v>0.87889662989694894</v>
      </c>
      <c r="Y30" s="73">
        <f t="shared" si="0"/>
        <v>0</v>
      </c>
      <c r="Z30" s="31">
        <f t="shared" si="9"/>
        <v>2.9443653428279148</v>
      </c>
      <c r="AA30" s="11">
        <v>1.8811280324430137</v>
      </c>
      <c r="AB30" s="76">
        <v>0.12648602226143923</v>
      </c>
      <c r="AC30" s="76">
        <v>0.63332866226922047</v>
      </c>
      <c r="AD30" s="76">
        <f t="shared" si="10"/>
        <v>0.7598146845306597</v>
      </c>
      <c r="AE30" s="76"/>
      <c r="AF30" s="31">
        <f t="shared" si="11"/>
        <v>2.5616056481945648</v>
      </c>
      <c r="AG30" s="76">
        <v>0.39195326978431944</v>
      </c>
      <c r="AH30" s="76">
        <v>-0.20952388317933862</v>
      </c>
      <c r="AI30" s="76">
        <v>0.11280379340146277</v>
      </c>
      <c r="AJ30" s="76">
        <f t="shared" si="12"/>
        <v>-9.6720089777875856E-2</v>
      </c>
      <c r="AL30" s="31">
        <f t="shared" si="13"/>
        <v>2.6346340495356335</v>
      </c>
      <c r="AM30" s="76">
        <v>0.4129117991411031</v>
      </c>
      <c r="AN30" s="76">
        <v>-1.2440580648808345E-2</v>
      </c>
      <c r="AO30" s="76">
        <v>0.1226340711227917</v>
      </c>
      <c r="AP30" s="76">
        <f t="shared" si="14"/>
        <v>0.11019349047398336</v>
      </c>
      <c r="AQ30" s="89"/>
      <c r="AR30" s="31">
        <f t="shared" si="15"/>
        <v>3.1958990333170068</v>
      </c>
      <c r="AS30" s="76">
        <v>1.0762629635175913</v>
      </c>
      <c r="AT30" s="76">
        <v>0.34845048608958623</v>
      </c>
      <c r="AU30" s="76">
        <v>0.39789079774496594</v>
      </c>
      <c r="AV30" s="76">
        <f t="shared" si="16"/>
        <v>0.74634128383455223</v>
      </c>
      <c r="AW30" s="73">
        <f t="shared" si="17"/>
        <v>0</v>
      </c>
      <c r="AX30" s="31">
        <f t="shared" si="18"/>
        <v>2.6556901882889949</v>
      </c>
      <c r="AY30" s="11">
        <v>0.79016052016002847</v>
      </c>
      <c r="AZ30" s="76">
        <v>-5.5512159780558507E-3</v>
      </c>
      <c r="BA30" s="76">
        <v>0.23678073042517134</v>
      </c>
      <c r="BB30" s="76">
        <f t="shared" si="19"/>
        <v>0.23122951444711548</v>
      </c>
      <c r="BC30" s="76"/>
      <c r="BD30" s="31">
        <f t="shared" si="20"/>
        <v>2.6320188411371737</v>
      </c>
      <c r="BE30" s="76">
        <v>0.10890628043772764</v>
      </c>
      <c r="BF30" s="76">
        <v>-3.6714040606319942E-2</v>
      </c>
      <c r="BG30" s="76">
        <v>3.2308984136424024E-2</v>
      </c>
      <c r="BH30" s="76">
        <f t="shared" si="21"/>
        <v>-4.4050564698959183E-3</v>
      </c>
      <c r="BJ30" s="31">
        <f t="shared" si="22"/>
        <v>2.632798184440821</v>
      </c>
      <c r="BK30" s="76">
        <v>0.54343409949213617</v>
      </c>
      <c r="BL30" s="76">
        <v>6.5977065103502874E-2</v>
      </c>
      <c r="BM30" s="76">
        <v>0.16127289650651028</v>
      </c>
      <c r="BN30" s="76">
        <f t="shared" si="23"/>
        <v>0.22724996161001315</v>
      </c>
      <c r="BO30" s="89"/>
      <c r="BP30" s="31">
        <f t="shared" si="24"/>
        <v>2.7640342004974006</v>
      </c>
      <c r="BQ30" s="76">
        <v>0.13782014023016467</v>
      </c>
      <c r="BR30" s="76">
        <v>-3.4814240475238789E-2</v>
      </c>
      <c r="BS30" s="76">
        <v>4.319884978223705E-2</v>
      </c>
      <c r="BT30" s="76">
        <f t="shared" si="25"/>
        <v>8.3846093069982613E-3</v>
      </c>
      <c r="BU30" s="73">
        <f t="shared" si="26"/>
        <v>0</v>
      </c>
      <c r="BV30" s="31">
        <f t="shared" si="27"/>
        <v>2.7443857826882523</v>
      </c>
      <c r="BW30" s="11">
        <v>0.71149816309577474</v>
      </c>
      <c r="BX30" s="76">
        <v>0.24504437900903087</v>
      </c>
      <c r="BY30" s="76">
        <v>0.22122934558787391</v>
      </c>
      <c r="BZ30" s="76">
        <f t="shared" si="28"/>
        <v>0.46627372459690475</v>
      </c>
      <c r="CA30" s="76"/>
      <c r="CB30" s="31">
        <f t="shared" si="29"/>
        <v>2.6198589066564582</v>
      </c>
      <c r="CC30" s="76">
        <v>0.18443335988879814</v>
      </c>
      <c r="CD30" s="76">
        <v>-4.0323210155314967E-2</v>
      </c>
      <c r="CE30" s="76">
        <v>5.4432240278174497E-2</v>
      </c>
      <c r="CF30" s="76">
        <f t="shared" si="30"/>
        <v>1.410903012285953E-2</v>
      </c>
      <c r="CH30" s="31">
        <f t="shared" si="31"/>
        <v>2.782142672137855</v>
      </c>
      <c r="CI30" s="76">
        <v>0.38582009293331226</v>
      </c>
      <c r="CJ30" s="76">
        <v>0.20616741540992439</v>
      </c>
      <c r="CK30" s="76">
        <v>0.12182654230872253</v>
      </c>
      <c r="CL30" s="76">
        <f t="shared" si="32"/>
        <v>0.32799395771864692</v>
      </c>
      <c r="CM30" s="89"/>
      <c r="CN30" s="31">
        <f t="shared" si="33"/>
        <v>2.802650191366185</v>
      </c>
      <c r="CO30" s="76">
        <v>0.14124471027366434</v>
      </c>
      <c r="CP30" s="76">
        <v>7.9200173754421455E-2</v>
      </c>
      <c r="CQ30" s="76">
        <v>4.4970563000976925E-2</v>
      </c>
      <c r="CR30" s="76">
        <f t="shared" si="34"/>
        <v>0.12417073675539839</v>
      </c>
      <c r="CS30" s="73">
        <f t="shared" si="35"/>
        <v>0</v>
      </c>
      <c r="CT30" s="31">
        <f t="shared" si="36"/>
        <v>2.5769124618272299</v>
      </c>
      <c r="CU30" s="11">
        <v>0.24121328430117833</v>
      </c>
      <c r="CV30" s="76">
        <v>-0.11897918529242003</v>
      </c>
      <c r="CW30" s="76">
        <v>6.9884880895608265E-2</v>
      </c>
      <c r="CX30" s="76">
        <f t="shared" si="37"/>
        <v>-4.9094304396811769E-2</v>
      </c>
      <c r="CY30" s="76"/>
      <c r="CZ30" s="31">
        <f t="shared" si="38"/>
        <v>2.7192664271063816</v>
      </c>
      <c r="DA30" s="76">
        <v>0.20012084758768453</v>
      </c>
      <c r="DB30" s="76">
        <v>-9.2647288572005396E-2</v>
      </c>
      <c r="DC30" s="76">
        <v>6.1583794212272509E-2</v>
      </c>
      <c r="DD30" s="76">
        <f t="shared" si="39"/>
        <v>-3.1063494359732886E-2</v>
      </c>
      <c r="DF30" s="31">
        <f t="shared" si="40"/>
        <v>1.8569836908540527</v>
      </c>
      <c r="DG30" s="76">
        <v>4.1092436713493816E-2</v>
      </c>
      <c r="DH30" s="76">
        <v>-2.6331896720414642E-2</v>
      </c>
      <c r="DI30" s="76">
        <v>8.3010866833357552E-3</v>
      </c>
      <c r="DJ30" s="76">
        <f t="shared" si="41"/>
        <v>-1.8030810037078886E-2</v>
      </c>
      <c r="DK30" s="89"/>
      <c r="DL30" s="31">
        <f t="shared" si="42"/>
        <v>0</v>
      </c>
      <c r="DM30" s="76">
        <v>0</v>
      </c>
      <c r="DN30" s="76">
        <v>0</v>
      </c>
      <c r="DO30" s="76">
        <v>0</v>
      </c>
      <c r="DP30" s="76">
        <f t="shared" si="43"/>
        <v>0</v>
      </c>
    </row>
    <row r="31" spans="1:120">
      <c r="A31" s="73">
        <f>name!B27</f>
        <v>0</v>
      </c>
      <c r="B31" s="31">
        <f t="shared" si="1"/>
        <v>2.6734729787020628</v>
      </c>
      <c r="C31" s="11">
        <v>5.3973840679838156</v>
      </c>
      <c r="D31" s="76">
        <v>1.1408021816129781</v>
      </c>
      <c r="E31" s="76">
        <v>1.6295494976716494</v>
      </c>
      <c r="F31" s="76">
        <f t="shared" si="2"/>
        <v>2.7703516792846274</v>
      </c>
      <c r="G31" s="76"/>
      <c r="H31" s="31">
        <f t="shared" si="3"/>
        <v>2.4242144760953321</v>
      </c>
      <c r="I31" s="76">
        <v>0.66792410715744144</v>
      </c>
      <c r="J31" s="76">
        <v>8.7081733597755159E-2</v>
      </c>
      <c r="K31" s="76">
        <v>0.18077459401533136</v>
      </c>
      <c r="L31" s="76">
        <f t="shared" si="4"/>
        <v>0.26785632761308653</v>
      </c>
      <c r="N31" s="31">
        <f t="shared" si="5"/>
        <v>2.609263332573919</v>
      </c>
      <c r="O31" s="76">
        <v>2.0775695012091084</v>
      </c>
      <c r="P31" s="76">
        <v>0.2544737074116219</v>
      </c>
      <c r="Q31" s="76">
        <v>0.6103809444492555</v>
      </c>
      <c r="R31" s="76">
        <f t="shared" si="6"/>
        <v>0.8648546518608774</v>
      </c>
      <c r="S31" s="89"/>
      <c r="T31" s="31">
        <f t="shared" si="7"/>
        <v>2.7851854419137734</v>
      </c>
      <c r="U31" s="76">
        <v>2.6518904596172663</v>
      </c>
      <c r="V31" s="76">
        <v>0.79924674060360146</v>
      </c>
      <c r="W31" s="76">
        <v>0.83839395920706195</v>
      </c>
      <c r="X31" s="76">
        <f t="shared" si="8"/>
        <v>1.6376406998106634</v>
      </c>
      <c r="Y31" s="73">
        <f t="shared" si="0"/>
        <v>0</v>
      </c>
      <c r="Z31" s="31">
        <f t="shared" si="9"/>
        <v>2.8165513572584899</v>
      </c>
      <c r="AA31" s="11">
        <v>2.214362158393115</v>
      </c>
      <c r="AB31" s="76">
        <v>0.76697330164247091</v>
      </c>
      <c r="AC31" s="76">
        <v>0.7089754858112105</v>
      </c>
      <c r="AD31" s="76">
        <f t="shared" si="10"/>
        <v>1.4759487874536814</v>
      </c>
      <c r="AE31" s="76"/>
      <c r="AF31" s="31">
        <f t="shared" si="11"/>
        <v>2.4947991741868014</v>
      </c>
      <c r="AG31" s="76">
        <v>9.3295900311954727E-2</v>
      </c>
      <c r="AH31" s="76">
        <v>7.3611029159494539E-3</v>
      </c>
      <c r="AI31" s="76">
        <v>2.6070156753053058E-2</v>
      </c>
      <c r="AJ31" s="76">
        <f t="shared" si="12"/>
        <v>3.3431259669002511E-2</v>
      </c>
      <c r="AL31" s="31">
        <f t="shared" si="13"/>
        <v>2.7753358006801676</v>
      </c>
      <c r="AM31" s="76">
        <v>0.4972447918516455</v>
      </c>
      <c r="AN31" s="76">
        <v>9.6394295735497987E-2</v>
      </c>
      <c r="AO31" s="76">
        <v>0.15657684325353696</v>
      </c>
      <c r="AP31" s="76">
        <f t="shared" si="14"/>
        <v>0.25297113898903495</v>
      </c>
      <c r="AQ31" s="89"/>
      <c r="AR31" s="31">
        <f t="shared" si="15"/>
        <v>2.8473360407721415</v>
      </c>
      <c r="AS31" s="76">
        <v>1.6238214662295147</v>
      </c>
      <c r="AT31" s="76">
        <v>0.66321790299102346</v>
      </c>
      <c r="AU31" s="76">
        <v>0.52632848580462055</v>
      </c>
      <c r="AV31" s="76">
        <f t="shared" si="16"/>
        <v>1.1895463887956441</v>
      </c>
      <c r="AW31" s="73">
        <f t="shared" si="17"/>
        <v>0</v>
      </c>
      <c r="AX31" s="31">
        <f t="shared" si="18"/>
        <v>2.6299606183572521</v>
      </c>
      <c r="AY31" s="11">
        <v>2.2783095768098032</v>
      </c>
      <c r="AZ31" s="76">
        <v>0.28087299486229567</v>
      </c>
      <c r="BA31" s="76">
        <v>0.67530864231188981</v>
      </c>
      <c r="BB31" s="76">
        <f t="shared" si="19"/>
        <v>0.95618163717418547</v>
      </c>
      <c r="BC31" s="76"/>
      <c r="BD31" s="31">
        <f t="shared" si="20"/>
        <v>2.5631080985660804</v>
      </c>
      <c r="BE31" s="76">
        <v>0.22101247964060855</v>
      </c>
      <c r="BF31" s="76">
        <v>-1.6947941898083588E-2</v>
      </c>
      <c r="BG31" s="76">
        <v>6.3648887364331108E-2</v>
      </c>
      <c r="BH31" s="76">
        <f t="shared" si="21"/>
        <v>4.670094546624752E-2</v>
      </c>
      <c r="BJ31" s="31">
        <f t="shared" si="22"/>
        <v>2.5856877347969265</v>
      </c>
      <c r="BK31" s="76">
        <v>1.1148096584511451</v>
      </c>
      <c r="BL31" s="76">
        <v>0.19268434666122614</v>
      </c>
      <c r="BM31" s="76">
        <v>0.32421576182958223</v>
      </c>
      <c r="BN31" s="76">
        <f t="shared" si="23"/>
        <v>0.51690010849080836</v>
      </c>
      <c r="BO31" s="89"/>
      <c r="BP31" s="31">
        <f t="shared" si="24"/>
        <v>2.6976564051442775</v>
      </c>
      <c r="BQ31" s="76">
        <v>0.94248743871804974</v>
      </c>
      <c r="BR31" s="76">
        <v>0.10513659009915316</v>
      </c>
      <c r="BS31" s="76">
        <v>0.28744399311797653</v>
      </c>
      <c r="BT31" s="76">
        <f t="shared" si="25"/>
        <v>0.39258058321712969</v>
      </c>
      <c r="BU31" s="73">
        <f t="shared" si="26"/>
        <v>0</v>
      </c>
      <c r="BV31" s="31">
        <f t="shared" si="27"/>
        <v>2.6073314286228833</v>
      </c>
      <c r="BW31" s="11">
        <v>0.44551231145339021</v>
      </c>
      <c r="BX31" s="76">
        <v>-8.3373030656131442E-3</v>
      </c>
      <c r="BY31" s="76">
        <v>0.13078107806231981</v>
      </c>
      <c r="BZ31" s="76">
        <f t="shared" si="28"/>
        <v>0.12244377499670667</v>
      </c>
      <c r="CA31" s="76"/>
      <c r="CB31" s="31">
        <f t="shared" si="29"/>
        <v>2.4365291604826034</v>
      </c>
      <c r="CC31" s="76">
        <v>8.6276945213152031E-2</v>
      </c>
      <c r="CD31" s="76">
        <v>-4.2074055456051036E-2</v>
      </c>
      <c r="CE31" s="76">
        <v>2.3482855274529982E-2</v>
      </c>
      <c r="CF31" s="76">
        <f t="shared" si="30"/>
        <v>-1.8591200181521054E-2</v>
      </c>
      <c r="CH31" s="31">
        <f t="shared" si="31"/>
        <v>2.6262299218310803</v>
      </c>
      <c r="CI31" s="76">
        <v>0.29498731949520918</v>
      </c>
      <c r="CJ31" s="76">
        <v>2.0855293533474064E-2</v>
      </c>
      <c r="CK31" s="76">
        <v>8.7297539162572352E-2</v>
      </c>
      <c r="CL31" s="76">
        <f t="shared" si="32"/>
        <v>0.10815283269604642</v>
      </c>
      <c r="CM31" s="89"/>
      <c r="CN31" s="31">
        <f t="shared" si="33"/>
        <v>2.7472823291570414</v>
      </c>
      <c r="CO31" s="76">
        <v>6.4248046745029E-2</v>
      </c>
      <c r="CP31" s="76">
        <v>1.2881458856963826E-2</v>
      </c>
      <c r="CQ31" s="76">
        <v>2.000068362521747E-2</v>
      </c>
      <c r="CR31" s="76">
        <f t="shared" si="34"/>
        <v>3.2882142482181298E-2</v>
      </c>
      <c r="CS31" s="73">
        <f t="shared" si="35"/>
        <v>0</v>
      </c>
      <c r="CT31" s="31">
        <f t="shared" si="36"/>
        <v>2.2508925088840614</v>
      </c>
      <c r="CU31" s="11">
        <v>0.45920002132750753</v>
      </c>
      <c r="CV31" s="76">
        <v>0.10129318817382489</v>
      </c>
      <c r="CW31" s="76">
        <v>0.11448429148622874</v>
      </c>
      <c r="CX31" s="76">
        <f t="shared" si="37"/>
        <v>0.21577747966005362</v>
      </c>
      <c r="CY31" s="76"/>
      <c r="CZ31" s="31">
        <f t="shared" si="38"/>
        <v>2.2790784934704211</v>
      </c>
      <c r="DA31" s="76">
        <v>0.26733878199172612</v>
      </c>
      <c r="DB31" s="76">
        <v>0.13874262803594034</v>
      </c>
      <c r="DC31" s="76">
        <v>6.7572694623417223E-2</v>
      </c>
      <c r="DD31" s="76">
        <f t="shared" si="39"/>
        <v>0.20631532265935756</v>
      </c>
      <c r="DF31" s="31">
        <f t="shared" si="40"/>
        <v>2.2401417134240154</v>
      </c>
      <c r="DG31" s="76">
        <v>0.17052773141110822</v>
      </c>
      <c r="DH31" s="76">
        <v>-5.5460228518576328E-2</v>
      </c>
      <c r="DI31" s="76">
        <v>4.2290800203563968E-2</v>
      </c>
      <c r="DJ31" s="76">
        <f t="shared" si="41"/>
        <v>-1.316942831501236E-2</v>
      </c>
      <c r="DK31" s="89"/>
      <c r="DL31" s="31">
        <f t="shared" si="42"/>
        <v>1.9799306613629053</v>
      </c>
      <c r="DM31" s="76">
        <v>2.1333507924673225E-2</v>
      </c>
      <c r="DN31" s="76">
        <v>1.8010788656460896E-2</v>
      </c>
      <c r="DO31" s="76">
        <v>4.6207966592475454E-3</v>
      </c>
      <c r="DP31" s="76">
        <f t="shared" si="43"/>
        <v>2.2631585315708441E-2</v>
      </c>
    </row>
    <row r="32" spans="1:120">
      <c r="A32" s="73">
        <f>name!B28</f>
        <v>0</v>
      </c>
      <c r="B32" s="31">
        <f t="shared" si="1"/>
        <v>2.7212419765566098</v>
      </c>
      <c r="C32" s="11">
        <v>123.7608458367669</v>
      </c>
      <c r="D32" s="76">
        <v>13.119074771958418</v>
      </c>
      <c r="E32" s="76">
        <v>38.116429497024313</v>
      </c>
      <c r="F32" s="76">
        <f t="shared" si="2"/>
        <v>51.23550426898273</v>
      </c>
      <c r="G32" s="76"/>
      <c r="H32" s="31">
        <f t="shared" si="3"/>
        <v>2.5243885852895165</v>
      </c>
      <c r="I32" s="76">
        <v>26.847077802333636</v>
      </c>
      <c r="J32" s="76">
        <v>-7.8031435741815161</v>
      </c>
      <c r="K32" s="76">
        <v>7.6013099907891046</v>
      </c>
      <c r="L32" s="76">
        <f t="shared" si="4"/>
        <v>-0.20183358339241142</v>
      </c>
      <c r="N32" s="31">
        <f t="shared" si="5"/>
        <v>2.6624455318525975</v>
      </c>
      <c r="O32" s="76">
        <v>63.941359181744446</v>
      </c>
      <c r="P32" s="76">
        <v>7.8349731558739144</v>
      </c>
      <c r="Q32" s="76">
        <v>19.215469387990549</v>
      </c>
      <c r="R32" s="76">
        <f t="shared" si="6"/>
        <v>27.050442543864463</v>
      </c>
      <c r="S32" s="89"/>
      <c r="T32" s="31">
        <f t="shared" si="7"/>
        <v>2.9906749697417023</v>
      </c>
      <c r="U32" s="76">
        <v>32.972408852688829</v>
      </c>
      <c r="V32" s="76">
        <v>13.087245190266019</v>
      </c>
      <c r="W32" s="76">
        <v>11.299650118244649</v>
      </c>
      <c r="X32" s="76">
        <f t="shared" si="8"/>
        <v>24.386895308510667</v>
      </c>
      <c r="Y32" s="73">
        <f t="shared" si="0"/>
        <v>0</v>
      </c>
      <c r="Z32" s="31">
        <f t="shared" si="9"/>
        <v>3.0765850108950499</v>
      </c>
      <c r="AA32" s="11">
        <v>38.83635765848959</v>
      </c>
      <c r="AB32" s="76">
        <v>9.7986800365741935</v>
      </c>
      <c r="AC32" s="76">
        <v>13.745837027625093</v>
      </c>
      <c r="AD32" s="76">
        <f t="shared" si="10"/>
        <v>23.544517064199287</v>
      </c>
      <c r="AE32" s="76"/>
      <c r="AF32" s="31">
        <f t="shared" si="11"/>
        <v>3.0191901547181432</v>
      </c>
      <c r="AG32" s="76">
        <v>2.7303033528832836</v>
      </c>
      <c r="AH32" s="76">
        <v>7.5430584829441968E-2</v>
      </c>
      <c r="AI32" s="76">
        <v>0.94583812987341553</v>
      </c>
      <c r="AJ32" s="76">
        <f t="shared" si="12"/>
        <v>1.0212687147028574</v>
      </c>
      <c r="AL32" s="31">
        <f t="shared" si="13"/>
        <v>3.0173281094963533</v>
      </c>
      <c r="AM32" s="76">
        <v>15.834000720976697</v>
      </c>
      <c r="AN32" s="76">
        <v>4.2727073292572078</v>
      </c>
      <c r="AO32" s="76">
        <v>5.4813988049700901</v>
      </c>
      <c r="AP32" s="76">
        <f t="shared" si="14"/>
        <v>9.7541061342272979</v>
      </c>
      <c r="AQ32" s="89"/>
      <c r="AR32" s="31">
        <f t="shared" si="15"/>
        <v>3.1303340410858471</v>
      </c>
      <c r="AS32" s="76">
        <v>20.272053584629607</v>
      </c>
      <c r="AT32" s="76">
        <v>5.4505421224875432</v>
      </c>
      <c r="AU32" s="76">
        <v>7.3186000927815886</v>
      </c>
      <c r="AV32" s="76">
        <f t="shared" si="16"/>
        <v>12.769142215269131</v>
      </c>
      <c r="AW32" s="73">
        <f t="shared" si="17"/>
        <v>0</v>
      </c>
      <c r="AX32" s="31">
        <f t="shared" si="18"/>
        <v>2.6584881857450782</v>
      </c>
      <c r="AY32" s="11">
        <v>47.806403154901318</v>
      </c>
      <c r="AZ32" s="76">
        <v>-7.0421609841178725</v>
      </c>
      <c r="BA32" s="76">
        <v>14.342678022761262</v>
      </c>
      <c r="BB32" s="76">
        <f t="shared" si="19"/>
        <v>7.30051703864339</v>
      </c>
      <c r="BC32" s="76"/>
      <c r="BD32" s="31">
        <f t="shared" si="20"/>
        <v>2.6161806421257428</v>
      </c>
      <c r="BE32" s="76">
        <v>10.847301910693686</v>
      </c>
      <c r="BF32" s="76">
        <v>-4.5098176413100948</v>
      </c>
      <c r="BG32" s="76">
        <v>3.196354334448817</v>
      </c>
      <c r="BH32" s="76">
        <f t="shared" si="21"/>
        <v>-1.3134633068612778</v>
      </c>
      <c r="BJ32" s="31">
        <f t="shared" si="22"/>
        <v>2.6374751567947108</v>
      </c>
      <c r="BK32" s="76">
        <v>28.371369231702417</v>
      </c>
      <c r="BL32" s="76">
        <v>-3.0931884379730161</v>
      </c>
      <c r="BM32" s="76">
        <v>8.4364337781793513</v>
      </c>
      <c r="BN32" s="76">
        <f t="shared" si="23"/>
        <v>5.3432453402063356</v>
      </c>
      <c r="BO32" s="89"/>
      <c r="BP32" s="31">
        <f t="shared" si="24"/>
        <v>2.7805305911498435</v>
      </c>
      <c r="BQ32" s="76">
        <v>8.5877320125052172</v>
      </c>
      <c r="BR32" s="76">
        <v>0.56084509516523873</v>
      </c>
      <c r="BS32" s="76">
        <v>2.7098899101330933</v>
      </c>
      <c r="BT32" s="76">
        <f t="shared" si="25"/>
        <v>3.2707350052983322</v>
      </c>
      <c r="BU32" s="73">
        <f t="shared" si="26"/>
        <v>0</v>
      </c>
      <c r="BV32" s="31">
        <f t="shared" si="27"/>
        <v>2.6565095608896083</v>
      </c>
      <c r="BW32" s="11">
        <v>19.849533341962385</v>
      </c>
      <c r="BX32" s="76">
        <v>1.9836189361300114</v>
      </c>
      <c r="BY32" s="76">
        <v>5.9502012149531671</v>
      </c>
      <c r="BZ32" s="76">
        <f t="shared" si="28"/>
        <v>7.9338201510831787</v>
      </c>
      <c r="CA32" s="76"/>
      <c r="CB32" s="31">
        <f t="shared" si="29"/>
        <v>2.6205599538537738</v>
      </c>
      <c r="CC32" s="76">
        <v>6.8203543745401731</v>
      </c>
      <c r="CD32" s="76">
        <v>-1.6267924145713057</v>
      </c>
      <c r="CE32" s="76">
        <v>2.0135102832400635</v>
      </c>
      <c r="CF32" s="76">
        <f t="shared" si="30"/>
        <v>0.38671786866875779</v>
      </c>
      <c r="CH32" s="31">
        <f t="shared" si="31"/>
        <v>2.6438862721386736</v>
      </c>
      <c r="CI32" s="76">
        <v>10.586487257709154</v>
      </c>
      <c r="CJ32" s="76">
        <v>1.7602610215326151</v>
      </c>
      <c r="CK32" s="76">
        <v>3.1565507372840993</v>
      </c>
      <c r="CL32" s="76">
        <f t="shared" si="32"/>
        <v>4.9168117588167144</v>
      </c>
      <c r="CM32" s="89"/>
      <c r="CN32" s="31">
        <f t="shared" si="33"/>
        <v>2.8103646649090264</v>
      </c>
      <c r="CO32" s="76">
        <v>2.4426917097130554</v>
      </c>
      <c r="CP32" s="76">
        <v>1.850150329168702</v>
      </c>
      <c r="CQ32" s="76">
        <v>0.78014019442900417</v>
      </c>
      <c r="CR32" s="76">
        <f t="shared" si="34"/>
        <v>2.6302905235977061</v>
      </c>
      <c r="CS32" s="73">
        <f t="shared" si="35"/>
        <v>0</v>
      </c>
      <c r="CT32" s="31">
        <f t="shared" si="36"/>
        <v>2.1425269866725216</v>
      </c>
      <c r="CU32" s="11">
        <v>17.268551681413616</v>
      </c>
      <c r="CV32" s="76">
        <v>8.3789367833720867</v>
      </c>
      <c r="CW32" s="76">
        <v>4.0777132316847844</v>
      </c>
      <c r="CX32" s="76">
        <f t="shared" si="37"/>
        <v>12.456650015056871</v>
      </c>
      <c r="CY32" s="76"/>
      <c r="CZ32" s="31">
        <f t="shared" si="38"/>
        <v>2.0431060525095246</v>
      </c>
      <c r="DA32" s="76">
        <v>6.4491181642164932</v>
      </c>
      <c r="DB32" s="76">
        <v>-1.7419641031295572</v>
      </c>
      <c r="DC32" s="76">
        <v>1.4456072432268086</v>
      </c>
      <c r="DD32" s="76">
        <f t="shared" si="39"/>
        <v>-0.29635685990274863</v>
      </c>
      <c r="DF32" s="31">
        <f t="shared" si="40"/>
        <v>2.1249626362792373</v>
      </c>
      <c r="DG32" s="76">
        <v>9.1495019713561767</v>
      </c>
      <c r="DH32" s="76">
        <v>4.8951932430571077</v>
      </c>
      <c r="DI32" s="76">
        <v>2.1410860675570116</v>
      </c>
      <c r="DJ32" s="76">
        <f t="shared" si="41"/>
        <v>7.0362793106141197</v>
      </c>
      <c r="DK32" s="89"/>
      <c r="DL32" s="31">
        <f t="shared" si="42"/>
        <v>2.6111687821135154</v>
      </c>
      <c r="DM32" s="76">
        <v>1.6699315458409487</v>
      </c>
      <c r="DN32" s="76">
        <v>5.2257076434445349</v>
      </c>
      <c r="DO32" s="76">
        <v>0.49101992090096452</v>
      </c>
      <c r="DP32" s="76">
        <f t="shared" si="43"/>
        <v>5.7167275643454998</v>
      </c>
    </row>
    <row r="33" spans="1:120">
      <c r="A33" s="73">
        <f>name!B29</f>
        <v>0</v>
      </c>
      <c r="B33" s="31">
        <f t="shared" si="1"/>
        <v>3.0653273318685947</v>
      </c>
      <c r="C33" s="11">
        <v>154.97099999999972</v>
      </c>
      <c r="D33" s="76">
        <v>3.3030000000000879</v>
      </c>
      <c r="E33" s="76">
        <v>54.621773436017577</v>
      </c>
      <c r="F33" s="76">
        <f t="shared" si="2"/>
        <v>57.924773436017666</v>
      </c>
      <c r="G33" s="76"/>
      <c r="H33" s="31">
        <f t="shared" si="3"/>
        <v>2.9436319407800893</v>
      </c>
      <c r="I33" s="76">
        <v>50.957790570188273</v>
      </c>
      <c r="J33" s="76">
        <v>-5.207332958391917</v>
      </c>
      <c r="K33" s="76">
        <v>17.151358481765701</v>
      </c>
      <c r="L33" s="76">
        <f t="shared" si="4"/>
        <v>11.944025523373785</v>
      </c>
      <c r="N33" s="31">
        <f t="shared" si="5"/>
        <v>3.080091904459592</v>
      </c>
      <c r="O33" s="76">
        <v>82.75191339584687</v>
      </c>
      <c r="P33" s="76">
        <v>5.6365125249630674</v>
      </c>
      <c r="Q33" s="76">
        <v>29.327542834156286</v>
      </c>
      <c r="R33" s="76">
        <f t="shared" si="6"/>
        <v>34.964055359119357</v>
      </c>
      <c r="S33" s="89"/>
      <c r="T33" s="31">
        <f t="shared" si="7"/>
        <v>3.2956222869682472</v>
      </c>
      <c r="U33" s="76">
        <v>21.261296033964598</v>
      </c>
      <c r="V33" s="76">
        <v>2.873820433428937</v>
      </c>
      <c r="W33" s="76">
        <v>8.1428721200955785</v>
      </c>
      <c r="X33" s="76">
        <f t="shared" si="8"/>
        <v>11.016692553524516</v>
      </c>
      <c r="Y33" s="73">
        <f t="shared" si="0"/>
        <v>0</v>
      </c>
      <c r="Z33" s="31">
        <f t="shared" si="9"/>
        <v>4.0504340600003408</v>
      </c>
      <c r="AA33" s="11">
        <v>43.296648877844632</v>
      </c>
      <c r="AB33" s="76">
        <v>-7.3473712231151156</v>
      </c>
      <c r="AC33" s="76">
        <v>21.104445332065058</v>
      </c>
      <c r="AD33" s="76">
        <f t="shared" si="10"/>
        <v>13.757074108949944</v>
      </c>
      <c r="AE33" s="76"/>
      <c r="AF33" s="31">
        <f t="shared" si="11"/>
        <v>4.0754800931313673</v>
      </c>
      <c r="AG33" s="76">
        <v>10.106732188154798</v>
      </c>
      <c r="AH33" s="76">
        <v>-4.7657768055697005</v>
      </c>
      <c r="AI33" s="76">
        <v>4.9626340231866539</v>
      </c>
      <c r="AJ33" s="76">
        <f t="shared" si="12"/>
        <v>0.19685721761695341</v>
      </c>
      <c r="AL33" s="31">
        <f t="shared" si="13"/>
        <v>4.032928627335286</v>
      </c>
      <c r="AM33" s="76">
        <v>24.904995907126381</v>
      </c>
      <c r="AN33" s="76">
        <v>-2.8493267756162344</v>
      </c>
      <c r="AO33" s="76">
        <v>12.077372396997415</v>
      </c>
      <c r="AP33" s="76">
        <f t="shared" si="14"/>
        <v>9.228045621381181</v>
      </c>
      <c r="AQ33" s="89"/>
      <c r="AR33" s="31">
        <f t="shared" si="15"/>
        <v>4.0724091362593917</v>
      </c>
      <c r="AS33" s="76">
        <v>8.2849207825634537</v>
      </c>
      <c r="AT33" s="76">
        <v>0.26773235807081874</v>
      </c>
      <c r="AU33" s="76">
        <v>4.0644389118809876</v>
      </c>
      <c r="AV33" s="76">
        <f t="shared" si="16"/>
        <v>4.3321712699518065</v>
      </c>
      <c r="AW33" s="73">
        <f t="shared" si="17"/>
        <v>0</v>
      </c>
      <c r="AX33" s="31">
        <f t="shared" si="18"/>
        <v>2.5547598396461035</v>
      </c>
      <c r="AY33" s="11">
        <v>78.997845710276223</v>
      </c>
      <c r="AZ33" s="76">
        <v>9.7021663700437788</v>
      </c>
      <c r="BA33" s="76">
        <v>22.667623064076533</v>
      </c>
      <c r="BB33" s="76">
        <f t="shared" si="19"/>
        <v>32.369789434120314</v>
      </c>
      <c r="BC33" s="76"/>
      <c r="BD33" s="31">
        <f t="shared" si="20"/>
        <v>2.5174195387168252</v>
      </c>
      <c r="BE33" s="76">
        <v>26.37395315468379</v>
      </c>
      <c r="BF33" s="76">
        <v>1.6686028083983007</v>
      </c>
      <c r="BG33" s="76">
        <v>7.4443560709851919</v>
      </c>
      <c r="BH33" s="76">
        <f t="shared" si="21"/>
        <v>9.112958879383493</v>
      </c>
      <c r="BJ33" s="31">
        <f t="shared" si="22"/>
        <v>2.5486671581746334</v>
      </c>
      <c r="BK33" s="76">
        <v>42.663657472306795</v>
      </c>
      <c r="BL33" s="76">
        <v>6.2773062085895344</v>
      </c>
      <c r="BM33" s="76">
        <v>12.209289576322305</v>
      </c>
      <c r="BN33" s="76">
        <f t="shared" si="23"/>
        <v>18.486595784911842</v>
      </c>
      <c r="BO33" s="89"/>
      <c r="BP33" s="31">
        <f t="shared" si="24"/>
        <v>2.6788844840362147</v>
      </c>
      <c r="BQ33" s="76">
        <v>9.9602350832856388</v>
      </c>
      <c r="BR33" s="76">
        <v>1.7562573530559429</v>
      </c>
      <c r="BS33" s="76">
        <v>3.0139774167690323</v>
      </c>
      <c r="BT33" s="76">
        <f t="shared" si="25"/>
        <v>4.7702347698249756</v>
      </c>
      <c r="BU33" s="73">
        <f t="shared" si="26"/>
        <v>0</v>
      </c>
      <c r="BV33" s="31">
        <f t="shared" si="27"/>
        <v>2.6173395636761576</v>
      </c>
      <c r="BW33" s="11">
        <v>3.1913404184740064</v>
      </c>
      <c r="BX33" s="76">
        <v>1.1226335486044625</v>
      </c>
      <c r="BY33" s="76">
        <v>0.94085301244670572</v>
      </c>
      <c r="BZ33" s="76">
        <f t="shared" si="28"/>
        <v>2.0634865610511683</v>
      </c>
      <c r="CA33" s="76"/>
      <c r="CB33" s="31">
        <f t="shared" si="29"/>
        <v>2.5929383707474774</v>
      </c>
      <c r="CC33" s="76">
        <v>1.3470262007787908</v>
      </c>
      <c r="CD33" s="76">
        <v>-0.26599294418410591</v>
      </c>
      <c r="CE33" s="76">
        <v>0.39297973448013812</v>
      </c>
      <c r="CF33" s="76">
        <f t="shared" si="30"/>
        <v>0.12698679029603221</v>
      </c>
      <c r="CH33" s="31">
        <f t="shared" si="31"/>
        <v>2.6512654768499289</v>
      </c>
      <c r="CI33" s="76">
        <v>1.6842985207880887</v>
      </c>
      <c r="CJ33" s="76">
        <v>1.2839192112138034</v>
      </c>
      <c r="CK33" s="76">
        <v>0.50377617701394806</v>
      </c>
      <c r="CL33" s="76">
        <f t="shared" si="32"/>
        <v>1.7876953882277515</v>
      </c>
      <c r="CM33" s="89"/>
      <c r="CN33" s="31">
        <f t="shared" si="33"/>
        <v>2.4638723480357561</v>
      </c>
      <c r="CO33" s="76">
        <v>0.16001569690712689</v>
      </c>
      <c r="CP33" s="76">
        <v>0.10470728157476483</v>
      </c>
      <c r="CQ33" s="76">
        <v>4.4097100952619553E-2</v>
      </c>
      <c r="CR33" s="76">
        <f t="shared" si="34"/>
        <v>0.14880438252738437</v>
      </c>
      <c r="CS33" s="73">
        <f t="shared" si="35"/>
        <v>0</v>
      </c>
      <c r="CT33" s="31">
        <f t="shared" si="36"/>
        <v>2.939646040038868</v>
      </c>
      <c r="CU33" s="11">
        <v>29.485164993404876</v>
      </c>
      <c r="CV33" s="76">
        <v>-0.17442869553303728</v>
      </c>
      <c r="CW33" s="76">
        <v>9.9088520274292744</v>
      </c>
      <c r="CX33" s="76">
        <f t="shared" si="37"/>
        <v>9.7344233318962363</v>
      </c>
      <c r="CY33" s="76"/>
      <c r="CZ33" s="31">
        <f t="shared" si="38"/>
        <v>2.9037153176336705</v>
      </c>
      <c r="DA33" s="76">
        <v>13.13007902657089</v>
      </c>
      <c r="DB33" s="76">
        <v>-1.8441660170364109</v>
      </c>
      <c r="DC33" s="76">
        <v>4.3513886531137187</v>
      </c>
      <c r="DD33" s="76">
        <f t="shared" si="39"/>
        <v>2.5072226360773078</v>
      </c>
      <c r="DF33" s="31">
        <f t="shared" si="40"/>
        <v>2.9399957923162523</v>
      </c>
      <c r="DG33" s="76">
        <v>13.498961495625606</v>
      </c>
      <c r="DH33" s="76">
        <v>0.92461388077596329</v>
      </c>
      <c r="DI33" s="76">
        <v>4.5371046838226157</v>
      </c>
      <c r="DJ33" s="76">
        <f t="shared" si="41"/>
        <v>5.4617185645985789</v>
      </c>
      <c r="DK33" s="89"/>
      <c r="DL33" s="31">
        <f t="shared" si="42"/>
        <v>3.1017595685842725</v>
      </c>
      <c r="DM33" s="76">
        <v>2.856124471208378</v>
      </c>
      <c r="DN33" s="76">
        <v>0.74512344072741044</v>
      </c>
      <c r="DO33" s="76">
        <v>1.0203586904929389</v>
      </c>
      <c r="DP33" s="76">
        <f t="shared" si="43"/>
        <v>1.7654821312203492</v>
      </c>
    </row>
    <row r="34" spans="1:120">
      <c r="A34" s="73">
        <f>name!B30</f>
        <v>0</v>
      </c>
      <c r="B34" s="31">
        <f t="shared" si="1"/>
        <v>2.9160956930703641</v>
      </c>
      <c r="C34" s="11">
        <v>23.473999999999943</v>
      </c>
      <c r="D34" s="76">
        <v>1.4800000000000508</v>
      </c>
      <c r="E34" s="76">
        <v>7.8170489049169243</v>
      </c>
      <c r="F34" s="76">
        <f t="shared" si="2"/>
        <v>9.2970489049169753</v>
      </c>
      <c r="G34" s="76"/>
      <c r="H34" s="31">
        <f t="shared" si="3"/>
        <v>2.8413998152179376</v>
      </c>
      <c r="I34" s="76">
        <v>1.0959429864268337</v>
      </c>
      <c r="J34" s="76">
        <v>-0.1037259015403591</v>
      </c>
      <c r="K34" s="76">
        <v>0.35439010241011099</v>
      </c>
      <c r="L34" s="76">
        <f t="shared" si="4"/>
        <v>0.25066420086975189</v>
      </c>
      <c r="N34" s="31">
        <f t="shared" si="5"/>
        <v>2.7368083593868553</v>
      </c>
      <c r="O34" s="76">
        <v>5.7095877901633001</v>
      </c>
      <c r="P34" s="76">
        <v>-0.37327834266091714</v>
      </c>
      <c r="Q34" s="76">
        <v>1.7697896880944277</v>
      </c>
      <c r="R34" s="76">
        <f t="shared" si="6"/>
        <v>1.3965113454335105</v>
      </c>
      <c r="S34" s="89"/>
      <c r="T34" s="31">
        <f t="shared" si="7"/>
        <v>2.9817357423914226</v>
      </c>
      <c r="U34" s="76">
        <v>16.668469223409804</v>
      </c>
      <c r="V34" s="76">
        <v>1.9570042442013271</v>
      </c>
      <c r="W34" s="76">
        <v>5.6928691144123853</v>
      </c>
      <c r="X34" s="76">
        <f t="shared" si="8"/>
        <v>7.6498733586137124</v>
      </c>
      <c r="Y34" s="73">
        <f t="shared" si="0"/>
        <v>0</v>
      </c>
      <c r="Z34" s="31">
        <f t="shared" si="9"/>
        <v>2.9622047611067126</v>
      </c>
      <c r="AA34" s="11">
        <v>19.751750114413298</v>
      </c>
      <c r="AB34" s="76">
        <v>1.9847428369989049</v>
      </c>
      <c r="AC34" s="76">
        <v>6.6957068627363743</v>
      </c>
      <c r="AD34" s="76">
        <f t="shared" si="10"/>
        <v>8.6804496997352789</v>
      </c>
      <c r="AE34" s="76"/>
      <c r="AF34" s="31">
        <f t="shared" si="11"/>
        <v>2.8503434562277441</v>
      </c>
      <c r="AG34" s="76">
        <v>0.53141404120681335</v>
      </c>
      <c r="AH34" s="76">
        <v>5.7773207866578854E-3</v>
      </c>
      <c r="AI34" s="76">
        <v>0.17245277094298822</v>
      </c>
      <c r="AJ34" s="76">
        <f t="shared" si="12"/>
        <v>0.1782300917296461</v>
      </c>
      <c r="AL34" s="31">
        <f t="shared" si="13"/>
        <v>2.8052118952712313</v>
      </c>
      <c r="AM34" s="76">
        <v>3.8176590294715562</v>
      </c>
      <c r="AN34" s="76">
        <v>-9.3651610208796005E-2</v>
      </c>
      <c r="AO34" s="76">
        <v>1.2167495955135688</v>
      </c>
      <c r="AP34" s="76">
        <f t="shared" si="14"/>
        <v>1.1230979853047727</v>
      </c>
      <c r="AQ34" s="89"/>
      <c r="AR34" s="31">
        <f t="shared" si="15"/>
        <v>3.0046124829515852</v>
      </c>
      <c r="AS34" s="76">
        <v>15.402677043734929</v>
      </c>
      <c r="AT34" s="76">
        <v>2.0726171264210431</v>
      </c>
      <c r="AU34" s="76">
        <v>5.3065044962798176</v>
      </c>
      <c r="AV34" s="76">
        <f t="shared" si="16"/>
        <v>7.3791216227008611</v>
      </c>
      <c r="AW34" s="73">
        <f t="shared" si="17"/>
        <v>0</v>
      </c>
      <c r="AX34" s="31">
        <f t="shared" si="18"/>
        <v>2.6373612310459427</v>
      </c>
      <c r="AY34" s="11">
        <v>2.374731535280187</v>
      </c>
      <c r="AZ34" s="76">
        <v>-0.52610301968475415</v>
      </c>
      <c r="BA34" s="76">
        <v>0.70610956275344761</v>
      </c>
      <c r="BB34" s="76">
        <f t="shared" si="19"/>
        <v>0.18000654306869346</v>
      </c>
      <c r="BC34" s="76"/>
      <c r="BD34" s="31">
        <f t="shared" si="20"/>
        <v>2.6142974667533903</v>
      </c>
      <c r="BE34" s="76">
        <v>0.19374258077031151</v>
      </c>
      <c r="BF34" s="76">
        <v>-6.9067346278153099E-2</v>
      </c>
      <c r="BG34" s="76">
        <v>5.7043738869553398E-2</v>
      </c>
      <c r="BH34" s="76">
        <f t="shared" si="21"/>
        <v>-1.2023607408599701E-2</v>
      </c>
      <c r="BJ34" s="31">
        <f t="shared" si="22"/>
        <v>2.5779959595980673</v>
      </c>
      <c r="BK34" s="76">
        <v>1.3032102618231316</v>
      </c>
      <c r="BL34" s="76">
        <v>-0.29057782168208351</v>
      </c>
      <c r="BM34" s="76">
        <v>0.37774669225068269</v>
      </c>
      <c r="BN34" s="76">
        <f t="shared" si="23"/>
        <v>8.7168870568599177E-2</v>
      </c>
      <c r="BO34" s="89"/>
      <c r="BP34" s="31">
        <f t="shared" si="24"/>
        <v>2.7299783965388569</v>
      </c>
      <c r="BQ34" s="76">
        <v>0.87777869268674391</v>
      </c>
      <c r="BR34" s="76">
        <v>-0.16645785172451752</v>
      </c>
      <c r="BS34" s="76">
        <v>0.27131913163321136</v>
      </c>
      <c r="BT34" s="76">
        <f t="shared" si="25"/>
        <v>0.10486127990869384</v>
      </c>
      <c r="BU34" s="73">
        <f t="shared" si="26"/>
        <v>0</v>
      </c>
      <c r="BV34" s="31">
        <f t="shared" si="27"/>
        <v>2.6468617353205159</v>
      </c>
      <c r="BW34" s="11">
        <v>1.0085113638560528</v>
      </c>
      <c r="BX34" s="76">
        <v>-2.6892226884003306E-2</v>
      </c>
      <c r="BY34" s="76">
        <v>0.30108528970707676</v>
      </c>
      <c r="BZ34" s="76">
        <f t="shared" si="28"/>
        <v>0.27419306282307343</v>
      </c>
      <c r="CA34" s="76"/>
      <c r="CB34" s="31">
        <f t="shared" si="29"/>
        <v>2.9715317472071456</v>
      </c>
      <c r="CC34" s="76">
        <v>0.11005468485323042</v>
      </c>
      <c r="CD34" s="76">
        <v>-1.7792453645316623E-2</v>
      </c>
      <c r="CE34" s="76">
        <v>3.7441322944962968E-2</v>
      </c>
      <c r="CF34" s="76">
        <f t="shared" si="30"/>
        <v>1.9648869299646345E-2</v>
      </c>
      <c r="CH34" s="31">
        <f t="shared" si="31"/>
        <v>2.6078916675794428</v>
      </c>
      <c r="CI34" s="76">
        <v>0.53681981591731076</v>
      </c>
      <c r="CJ34" s="76">
        <v>-2.205025681449153E-2</v>
      </c>
      <c r="CK34" s="76">
        <v>0.1576225040625937</v>
      </c>
      <c r="CL34" s="76">
        <f t="shared" si="32"/>
        <v>0.13557224724810218</v>
      </c>
      <c r="CM34" s="89"/>
      <c r="CN34" s="31">
        <f t="shared" si="33"/>
        <v>2.604308479860018</v>
      </c>
      <c r="CO34" s="76">
        <v>0.36163686308551168</v>
      </c>
      <c r="CP34" s="76">
        <v>1.2950483575804845E-2</v>
      </c>
      <c r="CQ34" s="76">
        <v>0.10602146269952011</v>
      </c>
      <c r="CR34" s="76">
        <f t="shared" si="34"/>
        <v>0.11897194627532495</v>
      </c>
      <c r="CS34" s="73">
        <f t="shared" si="35"/>
        <v>0</v>
      </c>
      <c r="CT34" s="31">
        <f t="shared" si="36"/>
        <v>2.9446387229132842</v>
      </c>
      <c r="CU34" s="11">
        <v>0.33900698645039778</v>
      </c>
      <c r="CV34" s="76">
        <v>4.8252409569903426E-2</v>
      </c>
      <c r="CW34" s="76">
        <v>0.11414718972002513</v>
      </c>
      <c r="CX34" s="76">
        <f t="shared" si="37"/>
        <v>0.16239959928992856</v>
      </c>
      <c r="CY34" s="76"/>
      <c r="CZ34" s="31">
        <f t="shared" si="38"/>
        <v>2.9346268426516664</v>
      </c>
      <c r="DA34" s="76">
        <v>0.26073167959647875</v>
      </c>
      <c r="DB34" s="76">
        <v>-2.2643422403547261E-2</v>
      </c>
      <c r="DC34" s="76">
        <v>8.7452269652606385E-2</v>
      </c>
      <c r="DD34" s="76">
        <f t="shared" si="39"/>
        <v>6.4808847249059123E-2</v>
      </c>
      <c r="DF34" s="31">
        <f t="shared" si="40"/>
        <v>2.9736967059325492</v>
      </c>
      <c r="DG34" s="76">
        <v>5.1898682951301692E-2</v>
      </c>
      <c r="DH34" s="76">
        <v>3.3001346044453983E-2</v>
      </c>
      <c r="DI34" s="76">
        <v>1.7670896267582607E-2</v>
      </c>
      <c r="DJ34" s="76">
        <f t="shared" si="41"/>
        <v>5.067224231203659E-2</v>
      </c>
      <c r="DK34" s="89"/>
      <c r="DL34" s="31">
        <f t="shared" si="42"/>
        <v>2.986239445321015</v>
      </c>
      <c r="DM34" s="76">
        <v>2.637662390261741E-2</v>
      </c>
      <c r="DN34" s="76">
        <v>3.7894485928996711E-2</v>
      </c>
      <c r="DO34" s="76">
        <v>9.0240237998361478E-3</v>
      </c>
      <c r="DP34" s="76">
        <f t="shared" si="43"/>
        <v>4.6918509728832859E-2</v>
      </c>
    </row>
    <row r="35" spans="1:120">
      <c r="A35" s="73">
        <f>name!B31</f>
        <v>0</v>
      </c>
      <c r="B35" s="31">
        <f t="shared" si="1"/>
        <v>2.8621080323697479</v>
      </c>
      <c r="C35" s="11">
        <v>28.894999999999936</v>
      </c>
      <c r="D35" s="76">
        <v>1.6460000000000381</v>
      </c>
      <c r="E35" s="76">
        <v>9.420712233917067</v>
      </c>
      <c r="F35" s="76">
        <f t="shared" si="2"/>
        <v>11.066712233917105</v>
      </c>
      <c r="G35" s="76"/>
      <c r="H35" s="31">
        <f t="shared" si="3"/>
        <v>2.6633825373017173</v>
      </c>
      <c r="I35" s="76">
        <v>1.9794220652335754</v>
      </c>
      <c r="J35" s="76">
        <v>-0.35248216003289656</v>
      </c>
      <c r="K35" s="76">
        <v>0.59508506788336712</v>
      </c>
      <c r="L35" s="76">
        <f t="shared" si="4"/>
        <v>0.24260290785047056</v>
      </c>
      <c r="N35" s="31">
        <f t="shared" si="5"/>
        <v>2.6696771260062091</v>
      </c>
      <c r="O35" s="76">
        <v>10.289648262531291</v>
      </c>
      <c r="P35" s="76">
        <v>0.71798490602012099</v>
      </c>
      <c r="Q35" s="76">
        <v>3.1016441026996522</v>
      </c>
      <c r="R35" s="76">
        <f t="shared" si="6"/>
        <v>3.8196290087197733</v>
      </c>
      <c r="S35" s="89"/>
      <c r="T35" s="31">
        <f t="shared" si="7"/>
        <v>3.0027901952621061</v>
      </c>
      <c r="U35" s="76">
        <v>16.625929672235067</v>
      </c>
      <c r="V35" s="76">
        <v>1.2804972540128137</v>
      </c>
      <c r="W35" s="76">
        <v>5.7239830633340478</v>
      </c>
      <c r="X35" s="76">
        <f t="shared" si="8"/>
        <v>7.0044803173468617</v>
      </c>
      <c r="Y35" s="73">
        <f t="shared" si="0"/>
        <v>0</v>
      </c>
      <c r="Z35" s="31">
        <f t="shared" si="9"/>
        <v>3.0215443790052143</v>
      </c>
      <c r="AA35" s="11">
        <v>17.580481963655998</v>
      </c>
      <c r="AB35" s="76">
        <v>2.8098087008328023</v>
      </c>
      <c r="AC35" s="76">
        <v>6.095681909765899</v>
      </c>
      <c r="AD35" s="76">
        <f t="shared" si="10"/>
        <v>8.9054906105987008</v>
      </c>
      <c r="AE35" s="76"/>
      <c r="AF35" s="31">
        <f t="shared" si="11"/>
        <v>2.9707695648767851</v>
      </c>
      <c r="AG35" s="76">
        <v>0.5967101275394916</v>
      </c>
      <c r="AH35" s="76">
        <v>0.21095192443473093</v>
      </c>
      <c r="AI35" s="76">
        <v>0.20294549270816775</v>
      </c>
      <c r="AJ35" s="76">
        <f t="shared" si="12"/>
        <v>0.41389741714289868</v>
      </c>
      <c r="AL35" s="31">
        <f t="shared" si="13"/>
        <v>2.828445336027241</v>
      </c>
      <c r="AM35" s="76">
        <v>4.2778021615675197</v>
      </c>
      <c r="AN35" s="76">
        <v>1.1605153808737563</v>
      </c>
      <c r="AO35" s="76">
        <v>1.3761664496642632</v>
      </c>
      <c r="AP35" s="76">
        <f t="shared" si="14"/>
        <v>2.5366818305380194</v>
      </c>
      <c r="AQ35" s="89"/>
      <c r="AR35" s="31">
        <f t="shared" si="15"/>
        <v>3.0881955582803711</v>
      </c>
      <c r="AS35" s="76">
        <v>12.705969674548985</v>
      </c>
      <c r="AT35" s="76">
        <v>1.4383413955243152</v>
      </c>
      <c r="AU35" s="76">
        <v>4.5165699673934689</v>
      </c>
      <c r="AV35" s="76">
        <f t="shared" si="16"/>
        <v>5.9549113629177839</v>
      </c>
      <c r="AW35" s="73">
        <f t="shared" si="17"/>
        <v>0</v>
      </c>
      <c r="AX35" s="31">
        <f t="shared" si="18"/>
        <v>2.6020134806948869</v>
      </c>
      <c r="AY35" s="11">
        <v>7.0600510279774715</v>
      </c>
      <c r="AZ35" s="76">
        <v>-0.82070299664328927</v>
      </c>
      <c r="BA35" s="76">
        <v>2.067760735617695</v>
      </c>
      <c r="BB35" s="76">
        <f t="shared" si="19"/>
        <v>1.2470577389744057</v>
      </c>
      <c r="BC35" s="76"/>
      <c r="BD35" s="31">
        <f t="shared" si="20"/>
        <v>2.5053318006841074</v>
      </c>
      <c r="BE35" s="76">
        <v>0.58242692656334427</v>
      </c>
      <c r="BF35" s="76">
        <v>-0.32828833435573068</v>
      </c>
      <c r="BG35" s="76">
        <v>0.16351669099146005</v>
      </c>
      <c r="BH35" s="76">
        <f t="shared" si="21"/>
        <v>-0.16477164336427064</v>
      </c>
      <c r="BJ35" s="31">
        <f t="shared" si="22"/>
        <v>2.528922957277846</v>
      </c>
      <c r="BK35" s="76">
        <v>3.4980513979754475</v>
      </c>
      <c r="BL35" s="76">
        <v>-0.21403758136916518</v>
      </c>
      <c r="BM35" s="76">
        <v>0.99240143264883662</v>
      </c>
      <c r="BN35" s="76">
        <f t="shared" si="23"/>
        <v>0.77836385127967145</v>
      </c>
      <c r="BO35" s="89"/>
      <c r="BP35" s="31">
        <f t="shared" si="24"/>
        <v>2.7058922134773455</v>
      </c>
      <c r="BQ35" s="76">
        <v>2.9795727034386803</v>
      </c>
      <c r="BR35" s="76">
        <v>-0.27837708091839342</v>
      </c>
      <c r="BS35" s="76">
        <v>0.91184261197739835</v>
      </c>
      <c r="BT35" s="76">
        <f t="shared" si="25"/>
        <v>0.63346553105900494</v>
      </c>
      <c r="BU35" s="73">
        <f t="shared" si="26"/>
        <v>0</v>
      </c>
      <c r="BV35" s="31">
        <f t="shared" si="27"/>
        <v>2.6025333799874595</v>
      </c>
      <c r="BW35" s="11">
        <v>3.9916086369088277</v>
      </c>
      <c r="BX35" s="76">
        <v>-0.36860749517507152</v>
      </c>
      <c r="BY35" s="76">
        <v>1.1693311871886336</v>
      </c>
      <c r="BZ35" s="76">
        <f t="shared" si="28"/>
        <v>0.80072369201356208</v>
      </c>
      <c r="CA35" s="76"/>
      <c r="CB35" s="31">
        <f t="shared" si="29"/>
        <v>2.5262794249925946</v>
      </c>
      <c r="CC35" s="76">
        <v>0.76479151317239202</v>
      </c>
      <c r="CD35" s="76">
        <v>-0.20773686960970486</v>
      </c>
      <c r="CE35" s="76">
        <v>0.21671918013294533</v>
      </c>
      <c r="CF35" s="76">
        <f t="shared" si="30"/>
        <v>8.9823105232404721E-3</v>
      </c>
      <c r="CH35" s="31">
        <f t="shared" si="31"/>
        <v>2.5896950806788999</v>
      </c>
      <c r="CI35" s="76">
        <v>2.4153471822787229</v>
      </c>
      <c r="CJ35" s="76">
        <v>-0.2502303844660983</v>
      </c>
      <c r="CK35" s="76">
        <v>0.70366416736616388</v>
      </c>
      <c r="CL35" s="76">
        <f t="shared" si="32"/>
        <v>0.45343378290006559</v>
      </c>
      <c r="CM35" s="89"/>
      <c r="CN35" s="31">
        <f t="shared" si="33"/>
        <v>2.7118274856430702</v>
      </c>
      <c r="CO35" s="76">
        <v>0.81146994145771245</v>
      </c>
      <c r="CP35" s="76">
        <v>8.9359758900731598E-2</v>
      </c>
      <c r="CQ35" s="76">
        <v>0.24894783968952428</v>
      </c>
      <c r="CR35" s="76">
        <f t="shared" si="34"/>
        <v>0.33830759859025589</v>
      </c>
      <c r="CS35" s="73">
        <f t="shared" si="35"/>
        <v>0</v>
      </c>
      <c r="CT35" s="31">
        <f t="shared" si="36"/>
        <v>2.9279629310322131</v>
      </c>
      <c r="CU35" s="11">
        <v>0.26285837145763702</v>
      </c>
      <c r="CV35" s="76">
        <v>2.5501790985596576E-2</v>
      </c>
      <c r="CW35" s="76">
        <v>8.7938401344838837E-2</v>
      </c>
      <c r="CX35" s="76">
        <f t="shared" si="37"/>
        <v>0.11344019233043541</v>
      </c>
      <c r="CY35" s="76"/>
      <c r="CZ35" s="31">
        <f t="shared" si="38"/>
        <v>2.9343651326463327</v>
      </c>
      <c r="DA35" s="76">
        <v>3.5493497958347456E-2</v>
      </c>
      <c r="DB35" s="76">
        <v>-2.740888050219192E-2</v>
      </c>
      <c r="DC35" s="76">
        <v>1.1903704050793999E-2</v>
      </c>
      <c r="DD35" s="76">
        <f t="shared" si="39"/>
        <v>-1.5505176451397921E-2</v>
      </c>
      <c r="DF35" s="31">
        <f t="shared" si="40"/>
        <v>2.6485565988142667</v>
      </c>
      <c r="DG35" s="76">
        <v>9.8447520709600847E-2</v>
      </c>
      <c r="DH35" s="76">
        <v>2.1737490981628024E-2</v>
      </c>
      <c r="DI35" s="76">
        <v>2.941205302038874E-2</v>
      </c>
      <c r="DJ35" s="76">
        <f t="shared" si="41"/>
        <v>5.1149544002016767E-2</v>
      </c>
      <c r="DK35" s="89"/>
      <c r="DL35" s="31">
        <f t="shared" si="42"/>
        <v>3.1350944801386671</v>
      </c>
      <c r="DM35" s="76">
        <v>0.12891735278968872</v>
      </c>
      <c r="DN35" s="76">
        <v>3.1173180506160469E-2</v>
      </c>
      <c r="DO35" s="76">
        <v>4.6622644273656109E-2</v>
      </c>
      <c r="DP35" s="76">
        <f t="shared" si="43"/>
        <v>7.7795824779816586E-2</v>
      </c>
    </row>
    <row r="36" spans="1:120">
      <c r="A36" s="73">
        <f>name!B32</f>
        <v>0</v>
      </c>
      <c r="B36" s="31">
        <f t="shared" si="1"/>
        <v>2.9945367077332863</v>
      </c>
      <c r="C36" s="11">
        <v>56.486999999999881</v>
      </c>
      <c r="D36" s="76">
        <v>9.4270000000000458</v>
      </c>
      <c r="E36" s="76">
        <v>19.386548178062384</v>
      </c>
      <c r="F36" s="76">
        <f t="shared" si="2"/>
        <v>28.81354817806243</v>
      </c>
      <c r="G36" s="76"/>
      <c r="H36" s="31">
        <f t="shared" si="3"/>
        <v>2.6683655064911882</v>
      </c>
      <c r="I36" s="76">
        <v>3.0739661220094856</v>
      </c>
      <c r="J36" s="76">
        <v>1.6985913874363638</v>
      </c>
      <c r="K36" s="76">
        <v>0.92608514366015537</v>
      </c>
      <c r="L36" s="76">
        <f t="shared" si="4"/>
        <v>2.6246765310965192</v>
      </c>
      <c r="N36" s="31">
        <f t="shared" si="5"/>
        <v>2.7983270973520824</v>
      </c>
      <c r="O36" s="76">
        <v>10.80483185043264</v>
      </c>
      <c r="P36" s="76">
        <v>0.32429358730751345</v>
      </c>
      <c r="Q36" s="76">
        <v>3.4341351738504251</v>
      </c>
      <c r="R36" s="76">
        <f t="shared" si="6"/>
        <v>3.7584287611579388</v>
      </c>
      <c r="S36" s="89"/>
      <c r="T36" s="31">
        <f t="shared" si="7"/>
        <v>3.0668385216106264</v>
      </c>
      <c r="U36" s="76">
        <v>42.608202027557752</v>
      </c>
      <c r="V36" s="76">
        <v>7.4041150252561669</v>
      </c>
      <c r="W36" s="76">
        <v>15.026327860551801</v>
      </c>
      <c r="X36" s="76">
        <f t="shared" si="8"/>
        <v>22.430442885807967</v>
      </c>
      <c r="Y36" s="73">
        <f t="shared" si="0"/>
        <v>0</v>
      </c>
      <c r="Z36" s="31">
        <f t="shared" si="9"/>
        <v>3.0309771831799281</v>
      </c>
      <c r="AA36" s="11">
        <v>51.021735996170101</v>
      </c>
      <c r="AB36" s="76">
        <v>9.5647099325395999</v>
      </c>
      <c r="AC36" s="76">
        <v>17.753710691282151</v>
      </c>
      <c r="AD36" s="76">
        <f t="shared" si="10"/>
        <v>27.318420623821751</v>
      </c>
      <c r="AE36" s="76"/>
      <c r="AF36" s="31">
        <f t="shared" si="11"/>
        <v>2.7156970530987756</v>
      </c>
      <c r="AG36" s="76">
        <v>1.8966772091595998</v>
      </c>
      <c r="AH36" s="76">
        <v>1.1084660999032749</v>
      </c>
      <c r="AI36" s="76">
        <v>0.58280846211724435</v>
      </c>
      <c r="AJ36" s="76">
        <f t="shared" si="12"/>
        <v>1.6912745620205194</v>
      </c>
      <c r="AL36" s="31">
        <f t="shared" si="13"/>
        <v>2.8544377950161515</v>
      </c>
      <c r="AM36" s="76">
        <v>8.7151787782400429</v>
      </c>
      <c r="AN36" s="76">
        <v>0.37231764916359472</v>
      </c>
      <c r="AO36" s="76">
        <v>2.8328178136294691</v>
      </c>
      <c r="AP36" s="76">
        <f t="shared" si="14"/>
        <v>3.2051354627930637</v>
      </c>
      <c r="AQ36" s="89"/>
      <c r="AR36" s="31">
        <f t="shared" si="15"/>
        <v>3.0832355344662776</v>
      </c>
      <c r="AS36" s="76">
        <v>40.409880008770457</v>
      </c>
      <c r="AT36" s="76">
        <v>8.0839261834727303</v>
      </c>
      <c r="AU36" s="76">
        <v>14.338084415535439</v>
      </c>
      <c r="AV36" s="76">
        <f t="shared" si="16"/>
        <v>22.422010599008168</v>
      </c>
      <c r="AW36" s="73">
        <f t="shared" si="17"/>
        <v>0</v>
      </c>
      <c r="AX36" s="31">
        <f t="shared" si="18"/>
        <v>2.6442828612915692</v>
      </c>
      <c r="AY36" s="11">
        <v>4.1117223502687619</v>
      </c>
      <c r="AZ36" s="76">
        <v>-1.2602457015033561</v>
      </c>
      <c r="BA36" s="76">
        <v>1.2261898817352725</v>
      </c>
      <c r="BB36" s="76">
        <f t="shared" si="19"/>
        <v>-3.4055819768083584E-2</v>
      </c>
      <c r="BC36" s="76"/>
      <c r="BD36" s="31">
        <f t="shared" si="20"/>
        <v>2.5250973136344612</v>
      </c>
      <c r="BE36" s="76">
        <v>0.59212142104784216</v>
      </c>
      <c r="BF36" s="76">
        <v>5.5003227893673415E-2</v>
      </c>
      <c r="BG36" s="76">
        <v>0.1677019969682341</v>
      </c>
      <c r="BH36" s="76">
        <f t="shared" si="21"/>
        <v>0.22270522486190752</v>
      </c>
      <c r="BJ36" s="31">
        <f t="shared" si="22"/>
        <v>2.5953522288273634</v>
      </c>
      <c r="BK36" s="76">
        <v>1.6781048923637909</v>
      </c>
      <c r="BL36" s="76">
        <v>-0.50299398657548378</v>
      </c>
      <c r="BM36" s="76">
        <v>0.49007829174845352</v>
      </c>
      <c r="BN36" s="76">
        <f t="shared" si="23"/>
        <v>-1.2915694827030255E-2</v>
      </c>
      <c r="BO36" s="89"/>
      <c r="BP36" s="31">
        <f t="shared" si="24"/>
        <v>2.7266024857339533</v>
      </c>
      <c r="BQ36" s="76">
        <v>1.8414960368571291</v>
      </c>
      <c r="BR36" s="76">
        <v>-0.81225494282154564</v>
      </c>
      <c r="BS36" s="76">
        <v>0.56840959301858496</v>
      </c>
      <c r="BT36" s="76">
        <f t="shared" si="25"/>
        <v>-0.24384534980296069</v>
      </c>
      <c r="BU36" s="73">
        <f t="shared" si="26"/>
        <v>0</v>
      </c>
      <c r="BV36" s="31">
        <f t="shared" si="27"/>
        <v>2.6699286086445007</v>
      </c>
      <c r="BW36" s="11">
        <v>0.94096087042845011</v>
      </c>
      <c r="BX36" s="76">
        <v>1.0673588590067584</v>
      </c>
      <c r="BY36" s="76">
        <v>0.28366707092484866</v>
      </c>
      <c r="BZ36" s="76">
        <f t="shared" si="28"/>
        <v>1.3510259299316072</v>
      </c>
      <c r="CA36" s="76"/>
      <c r="CB36" s="31">
        <f t="shared" si="29"/>
        <v>2.4755931087015126</v>
      </c>
      <c r="CC36" s="76">
        <v>0.24637925552867021</v>
      </c>
      <c r="CD36" s="76">
        <v>0.45294770729803285</v>
      </c>
      <c r="CE36" s="76">
        <v>6.8256840443345096E-2</v>
      </c>
      <c r="CF36" s="76">
        <f t="shared" si="30"/>
        <v>0.52120454774137792</v>
      </c>
      <c r="CH36" s="31">
        <f t="shared" si="31"/>
        <v>2.5317857369329788</v>
      </c>
      <c r="CI36" s="76">
        <v>0.34250238229029917</v>
      </c>
      <c r="CJ36" s="76">
        <v>0.47722061778305425</v>
      </c>
      <c r="CK36" s="76">
        <v>9.7291120958866453E-2</v>
      </c>
      <c r="CL36" s="76">
        <f t="shared" si="32"/>
        <v>0.57451173874192074</v>
      </c>
      <c r="CM36" s="89"/>
      <c r="CN36" s="31">
        <f t="shared" si="33"/>
        <v>2.9352369214464158</v>
      </c>
      <c r="CO36" s="76">
        <v>0.35207923260948076</v>
      </c>
      <c r="CP36" s="76">
        <v>0.13719053392567115</v>
      </c>
      <c r="CQ36" s="76">
        <v>0.1181191095226371</v>
      </c>
      <c r="CR36" s="76">
        <f t="shared" si="34"/>
        <v>0.25530964344830825</v>
      </c>
      <c r="CS36" s="73">
        <f t="shared" si="35"/>
        <v>0</v>
      </c>
      <c r="CT36" s="31">
        <f t="shared" si="36"/>
        <v>2.6431615692057875</v>
      </c>
      <c r="CU36" s="11">
        <v>0.41258078313257079</v>
      </c>
      <c r="CV36" s="76">
        <v>5.5176909957042726E-2</v>
      </c>
      <c r="CW36" s="76">
        <v>0.12298053412010829</v>
      </c>
      <c r="CX36" s="76">
        <f t="shared" si="37"/>
        <v>0.17815744407715101</v>
      </c>
      <c r="CY36" s="76"/>
      <c r="CZ36" s="31">
        <f t="shared" si="38"/>
        <v>2.7900274591234453</v>
      </c>
      <c r="DA36" s="76">
        <v>0.33878823627337318</v>
      </c>
      <c r="DB36" s="76">
        <v>8.2174352341382664E-2</v>
      </c>
      <c r="DC36" s="76">
        <v>0.10731784413133177</v>
      </c>
      <c r="DD36" s="76">
        <f t="shared" si="39"/>
        <v>0.18949219647271442</v>
      </c>
      <c r="DF36" s="31">
        <f t="shared" si="40"/>
        <v>1.8569836908540527</v>
      </c>
      <c r="DG36" s="76">
        <v>6.9045797538509451E-2</v>
      </c>
      <c r="DH36" s="76">
        <v>-2.2250693063651759E-2</v>
      </c>
      <c r="DI36" s="76">
        <v>1.3947947513635921E-2</v>
      </c>
      <c r="DJ36" s="76">
        <f t="shared" si="41"/>
        <v>-8.3027455500158387E-3</v>
      </c>
      <c r="DK36" s="89"/>
      <c r="DL36" s="31">
        <f t="shared" si="42"/>
        <v>3.1320498905442085</v>
      </c>
      <c r="DM36" s="76">
        <v>4.7467493206881754E-3</v>
      </c>
      <c r="DN36" s="76">
        <v>-4.7467493206881754E-3</v>
      </c>
      <c r="DO36" s="76">
        <v>1.714742475140592E-3</v>
      </c>
      <c r="DP36" s="76">
        <f t="shared" si="43"/>
        <v>-3.0320068455475836E-3</v>
      </c>
    </row>
    <row r="37" spans="1:120">
      <c r="A37" s="73">
        <f>name!B33</f>
        <v>0</v>
      </c>
      <c r="B37" s="31">
        <f t="shared" si="1"/>
        <v>3.0105219210724066</v>
      </c>
      <c r="C37" s="11">
        <v>138.06999999999971</v>
      </c>
      <c r="D37" s="76">
        <v>5.2479999999998874</v>
      </c>
      <c r="E37" s="76">
        <v>47.674174099563118</v>
      </c>
      <c r="F37" s="76">
        <f t="shared" si="2"/>
        <v>52.922174099563009</v>
      </c>
      <c r="G37" s="76"/>
      <c r="H37" s="31">
        <f t="shared" si="3"/>
        <v>2.7387217667445674</v>
      </c>
      <c r="I37" s="76">
        <v>5.0762170042485808</v>
      </c>
      <c r="J37" s="76">
        <v>-1.6886317271375544</v>
      </c>
      <c r="K37" s="76">
        <v>1.5747035569122914</v>
      </c>
      <c r="L37" s="76">
        <f t="shared" si="4"/>
        <v>-0.11392817022526303</v>
      </c>
      <c r="N37" s="31">
        <f t="shared" si="5"/>
        <v>2.8045296362573024</v>
      </c>
      <c r="O37" s="76">
        <v>28.306731283971203</v>
      </c>
      <c r="P37" s="76">
        <v>-8.2765906536960721</v>
      </c>
      <c r="Q37" s="76">
        <v>9.0193352638725663</v>
      </c>
      <c r="R37" s="76">
        <f t="shared" si="6"/>
        <v>0.74274461017649429</v>
      </c>
      <c r="S37" s="89"/>
      <c r="T37" s="31">
        <f t="shared" si="7"/>
        <v>3.078543964604763</v>
      </c>
      <c r="U37" s="76">
        <v>104.68705171177994</v>
      </c>
      <c r="V37" s="76">
        <v>15.213222380833514</v>
      </c>
      <c r="W37" s="76">
        <v>37.080135278778265</v>
      </c>
      <c r="X37" s="76">
        <f t="shared" si="8"/>
        <v>52.293357659611779</v>
      </c>
      <c r="Y37" s="73">
        <f t="shared" si="0"/>
        <v>0</v>
      </c>
      <c r="Z37" s="31">
        <f t="shared" si="9"/>
        <v>3.1854311581563932</v>
      </c>
      <c r="AA37" s="11">
        <v>84.169352157623123</v>
      </c>
      <c r="AB37" s="76">
        <v>11.293223881137797</v>
      </c>
      <c r="AC37" s="76">
        <v>31.000236702092703</v>
      </c>
      <c r="AD37" s="76">
        <f t="shared" si="10"/>
        <v>42.293460583230498</v>
      </c>
      <c r="AE37" s="76"/>
      <c r="AF37" s="31">
        <f t="shared" si="11"/>
        <v>2.8758144240809802</v>
      </c>
      <c r="AG37" s="76">
        <v>1.561209729824472</v>
      </c>
      <c r="AH37" s="76">
        <v>-0.14303116627554172</v>
      </c>
      <c r="AI37" s="76">
        <v>0.51176550062084825</v>
      </c>
      <c r="AJ37" s="76">
        <f t="shared" si="12"/>
        <v>0.36873433434530656</v>
      </c>
      <c r="AL37" s="31">
        <f t="shared" si="13"/>
        <v>3.0188955093647607</v>
      </c>
      <c r="AM37" s="76">
        <v>12.208732860551185</v>
      </c>
      <c r="AN37" s="76">
        <v>-2.5285459351532285</v>
      </c>
      <c r="AO37" s="76">
        <v>4.2289079044003817</v>
      </c>
      <c r="AP37" s="76">
        <f t="shared" si="14"/>
        <v>1.7003619692471532</v>
      </c>
      <c r="AQ37" s="89"/>
      <c r="AR37" s="31">
        <f t="shared" si="15"/>
        <v>3.2208226301510656</v>
      </c>
      <c r="AS37" s="76">
        <v>70.39940956724746</v>
      </c>
      <c r="AT37" s="76">
        <v>13.964800982566569</v>
      </c>
      <c r="AU37" s="76">
        <v>26.259563297071477</v>
      </c>
      <c r="AV37" s="76">
        <f t="shared" si="16"/>
        <v>40.224364279638046</v>
      </c>
      <c r="AW37" s="73">
        <f t="shared" si="17"/>
        <v>0</v>
      </c>
      <c r="AX37" s="31">
        <f t="shared" si="18"/>
        <v>2.7267134522667158</v>
      </c>
      <c r="AY37" s="11">
        <v>51.927409634180037</v>
      </c>
      <c r="AZ37" s="76">
        <v>-6.0856524291559531</v>
      </c>
      <c r="BA37" s="76">
        <v>16.029026927967443</v>
      </c>
      <c r="BB37" s="76">
        <f t="shared" si="19"/>
        <v>9.9433744988114903</v>
      </c>
      <c r="BC37" s="76"/>
      <c r="BD37" s="31">
        <f t="shared" si="20"/>
        <v>2.6091217857213467</v>
      </c>
      <c r="BE37" s="76">
        <v>2.7243795006504485</v>
      </c>
      <c r="BF37" s="76">
        <v>-1.1532037322243214</v>
      </c>
      <c r="BG37" s="76">
        <v>0.80036230481528592</v>
      </c>
      <c r="BH37" s="76">
        <f t="shared" si="21"/>
        <v>-0.35284142740903546</v>
      </c>
      <c r="BJ37" s="31">
        <f t="shared" si="22"/>
        <v>2.6299443244254261</v>
      </c>
      <c r="BK37" s="76">
        <v>15.359163285338358</v>
      </c>
      <c r="BL37" s="76">
        <v>-5.9558823651697637</v>
      </c>
      <c r="BM37" s="76">
        <v>4.5525435996448893</v>
      </c>
      <c r="BN37" s="76">
        <f t="shared" si="23"/>
        <v>-1.4033387655248744</v>
      </c>
      <c r="BO37" s="89"/>
      <c r="BP37" s="31">
        <f t="shared" si="24"/>
        <v>2.7797379262401334</v>
      </c>
      <c r="BQ37" s="76">
        <v>33.843866848191233</v>
      </c>
      <c r="BR37" s="76">
        <v>1.0234336682381324</v>
      </c>
      <c r="BS37" s="76">
        <v>10.676121023507269</v>
      </c>
      <c r="BT37" s="76">
        <f t="shared" si="25"/>
        <v>11.699554691745401</v>
      </c>
      <c r="BU37" s="73">
        <f t="shared" si="26"/>
        <v>0</v>
      </c>
      <c r="BV37" s="31">
        <f t="shared" si="27"/>
        <v>2.6792477491861755</v>
      </c>
      <c r="BW37" s="11">
        <v>0.56980182682378044</v>
      </c>
      <c r="BX37" s="76">
        <v>1.0313467302711063E-2</v>
      </c>
      <c r="BY37" s="76">
        <v>0.17244888032198771</v>
      </c>
      <c r="BZ37" s="76">
        <f t="shared" si="28"/>
        <v>0.18276234762469878</v>
      </c>
      <c r="CA37" s="76"/>
      <c r="CB37" s="31">
        <f t="shared" si="29"/>
        <v>2.8367883930212612</v>
      </c>
      <c r="CC37" s="76">
        <v>0.20099431010344829</v>
      </c>
      <c r="CD37" s="76">
        <v>-5.7907920738398629E-2</v>
      </c>
      <c r="CE37" s="76">
        <v>6.4875370800946713E-2</v>
      </c>
      <c r="CF37" s="76">
        <f t="shared" si="30"/>
        <v>6.9674500625480848E-3</v>
      </c>
      <c r="CH37" s="31">
        <f t="shared" si="31"/>
        <v>2.5723272891071236</v>
      </c>
      <c r="CI37" s="76">
        <v>0.24513927427280902</v>
      </c>
      <c r="CJ37" s="76">
        <v>6.3410914542454982E-2</v>
      </c>
      <c r="CK37" s="76">
        <v>7.0881032615846981E-2</v>
      </c>
      <c r="CL37" s="76">
        <f t="shared" si="32"/>
        <v>0.13429194715830195</v>
      </c>
      <c r="CM37" s="89"/>
      <c r="CN37" s="31">
        <f t="shared" si="33"/>
        <v>2.6322808837923928</v>
      </c>
      <c r="CO37" s="76">
        <v>0.12366824244752304</v>
      </c>
      <c r="CP37" s="76">
        <v>4.8104734986547104E-3</v>
      </c>
      <c r="CQ37" s="76">
        <v>3.6692476905194005E-2</v>
      </c>
      <c r="CR37" s="76">
        <f t="shared" si="34"/>
        <v>4.1502950403848715E-2</v>
      </c>
      <c r="CS37" s="73">
        <f t="shared" si="35"/>
        <v>0</v>
      </c>
      <c r="CT37" s="31">
        <f t="shared" si="36"/>
        <v>2.9441443737506567</v>
      </c>
      <c r="CU37" s="11">
        <v>1.4034363813727799</v>
      </c>
      <c r="CV37" s="76">
        <v>3.0115080715330519E-2</v>
      </c>
      <c r="CW37" s="76">
        <v>0.47246158918098952</v>
      </c>
      <c r="CX37" s="76">
        <f t="shared" si="37"/>
        <v>0.50257666989631999</v>
      </c>
      <c r="CY37" s="76"/>
      <c r="CZ37" s="31">
        <f t="shared" si="38"/>
        <v>2.9337226933785931</v>
      </c>
      <c r="DA37" s="76">
        <v>0.58963346367021108</v>
      </c>
      <c r="DB37" s="76">
        <v>-0.33448890789929281</v>
      </c>
      <c r="DC37" s="76">
        <v>0.19770038067521037</v>
      </c>
      <c r="DD37" s="76">
        <f t="shared" si="39"/>
        <v>-0.13678852722408244</v>
      </c>
      <c r="DF37" s="31">
        <f t="shared" si="40"/>
        <v>2.9566467111862726</v>
      </c>
      <c r="DG37" s="76">
        <v>0.49369586380885072</v>
      </c>
      <c r="DH37" s="76">
        <v>0.14442673208446449</v>
      </c>
      <c r="DI37" s="76">
        <v>0.16700272721144677</v>
      </c>
      <c r="DJ37" s="76">
        <f t="shared" si="41"/>
        <v>0.31142945929591126</v>
      </c>
      <c r="DK37" s="89"/>
      <c r="DL37" s="31">
        <f t="shared" si="42"/>
        <v>2.944039552625588</v>
      </c>
      <c r="DM37" s="76">
        <v>0.32010705389371841</v>
      </c>
      <c r="DN37" s="76">
        <v>0.22017725653015885</v>
      </c>
      <c r="DO37" s="76">
        <v>0.10775848129433241</v>
      </c>
      <c r="DP37" s="76">
        <f t="shared" si="43"/>
        <v>0.32793573782449126</v>
      </c>
    </row>
    <row r="38" spans="1:120">
      <c r="A38" s="73">
        <f>name!B34</f>
        <v>0</v>
      </c>
      <c r="B38" s="31">
        <f t="shared" si="1"/>
        <v>2.8257154904523185</v>
      </c>
      <c r="C38" s="11">
        <v>26.81499999999993</v>
      </c>
      <c r="D38" s="76">
        <v>7.5369999999999937</v>
      </c>
      <c r="E38" s="76">
        <v>8.6169620938889029</v>
      </c>
      <c r="F38" s="76">
        <f t="shared" si="2"/>
        <v>16.153962093888897</v>
      </c>
      <c r="G38" s="76"/>
      <c r="H38" s="31">
        <f t="shared" si="3"/>
        <v>2.7595137651860391</v>
      </c>
      <c r="I38" s="76">
        <v>9.6078449399321268</v>
      </c>
      <c r="J38" s="76">
        <v>1.1945418938920125</v>
      </c>
      <c r="K38" s="76">
        <v>3.0059681556585636</v>
      </c>
      <c r="L38" s="76">
        <f t="shared" si="4"/>
        <v>4.2005100495505765</v>
      </c>
      <c r="N38" s="31">
        <f t="shared" si="5"/>
        <v>2.7341953758082793</v>
      </c>
      <c r="O38" s="76">
        <v>9.4171479489873615</v>
      </c>
      <c r="P38" s="76">
        <v>4.3258837135697759</v>
      </c>
      <c r="Q38" s="76">
        <v>2.9158776210009156</v>
      </c>
      <c r="R38" s="76">
        <f t="shared" si="6"/>
        <v>7.2417613345706915</v>
      </c>
      <c r="S38" s="89"/>
      <c r="T38" s="31">
        <f t="shared" si="7"/>
        <v>3.0157359045575483</v>
      </c>
      <c r="U38" s="76">
        <v>7.7900071110804436</v>
      </c>
      <c r="V38" s="76">
        <v>2.0165743925382058</v>
      </c>
      <c r="W38" s="76">
        <v>2.6951163172294232</v>
      </c>
      <c r="X38" s="76">
        <f t="shared" si="8"/>
        <v>4.7116907097676286</v>
      </c>
      <c r="Y38" s="73">
        <f t="shared" si="0"/>
        <v>0</v>
      </c>
      <c r="Z38" s="31">
        <f t="shared" si="9"/>
        <v>2.9620533437984875</v>
      </c>
      <c r="AA38" s="11">
        <v>14.110138053458403</v>
      </c>
      <c r="AB38" s="76">
        <v>3.9764107081502162</v>
      </c>
      <c r="AC38" s="76">
        <v>4.782961494721258</v>
      </c>
      <c r="AD38" s="76">
        <f t="shared" si="10"/>
        <v>8.7593722028714751</v>
      </c>
      <c r="AE38" s="76"/>
      <c r="AF38" s="31">
        <f t="shared" si="11"/>
        <v>3.0508290138248517</v>
      </c>
      <c r="AG38" s="76">
        <v>2.6202275395242833</v>
      </c>
      <c r="AH38" s="76">
        <v>0.73551593091479284</v>
      </c>
      <c r="AI38" s="76">
        <v>0.91855524570148372</v>
      </c>
      <c r="AJ38" s="76">
        <f t="shared" si="12"/>
        <v>1.6540711766162766</v>
      </c>
      <c r="AL38" s="31">
        <f t="shared" si="13"/>
        <v>2.7890299588156253</v>
      </c>
      <c r="AM38" s="76">
        <v>5.0463247440146821</v>
      </c>
      <c r="AN38" s="76">
        <v>1.6277822226639092</v>
      </c>
      <c r="AO38" s="76">
        <v>1.5978779135482615</v>
      </c>
      <c r="AP38" s="76">
        <f t="shared" si="14"/>
        <v>3.2256601362121708</v>
      </c>
      <c r="AQ38" s="89"/>
      <c r="AR38" s="31">
        <f t="shared" si="15"/>
        <v>3.0598777753332529</v>
      </c>
      <c r="AS38" s="76">
        <v>6.4435857699194363</v>
      </c>
      <c r="AT38" s="76">
        <v>1.6131125545715137</v>
      </c>
      <c r="AU38" s="76">
        <v>2.266528335471512</v>
      </c>
      <c r="AV38" s="76">
        <f t="shared" si="16"/>
        <v>3.8796408900430257</v>
      </c>
      <c r="AW38" s="73">
        <f t="shared" si="17"/>
        <v>0</v>
      </c>
      <c r="AX38" s="31">
        <f t="shared" si="18"/>
        <v>2.6178151526021098</v>
      </c>
      <c r="AY38" s="11">
        <v>7.6620754162084248</v>
      </c>
      <c r="AZ38" s="76">
        <v>4.1655399185813149</v>
      </c>
      <c r="BA38" s="76">
        <v>2.2593497360645594</v>
      </c>
      <c r="BB38" s="76">
        <f t="shared" si="19"/>
        <v>6.4248896546458738</v>
      </c>
      <c r="BC38" s="76"/>
      <c r="BD38" s="31">
        <f t="shared" si="20"/>
        <v>2.5608888175541633</v>
      </c>
      <c r="BE38" s="76">
        <v>3.3773615761310447</v>
      </c>
      <c r="BF38" s="76">
        <v>1.945929096670862</v>
      </c>
      <c r="BG38" s="76">
        <v>0.97169760077091438</v>
      </c>
      <c r="BH38" s="76">
        <f t="shared" si="21"/>
        <v>2.9176266974417766</v>
      </c>
      <c r="BJ38" s="31">
        <f t="shared" si="22"/>
        <v>2.6173073729337526</v>
      </c>
      <c r="BK38" s="76">
        <v>3.0704844325527145</v>
      </c>
      <c r="BL38" s="76">
        <v>1.9069257326115823</v>
      </c>
      <c r="BM38" s="76">
        <v>0.90521045953698565</v>
      </c>
      <c r="BN38" s="76">
        <f t="shared" si="23"/>
        <v>2.8121361921485679</v>
      </c>
      <c r="BO38" s="89"/>
      <c r="BP38" s="31">
        <f t="shared" si="24"/>
        <v>2.7759432511544002</v>
      </c>
      <c r="BQ38" s="76">
        <v>1.2142294075246651</v>
      </c>
      <c r="BR38" s="76">
        <v>0.31268508929887001</v>
      </c>
      <c r="BS38" s="76">
        <v>0.38244167575665899</v>
      </c>
      <c r="BT38" s="76">
        <f t="shared" si="25"/>
        <v>0.69512676505552906</v>
      </c>
      <c r="BU38" s="73">
        <f t="shared" si="26"/>
        <v>0</v>
      </c>
      <c r="BV38" s="31">
        <f t="shared" si="27"/>
        <v>2.414473236517467</v>
      </c>
      <c r="BW38" s="11">
        <v>1.7431494173157795</v>
      </c>
      <c r="BX38" s="76">
        <v>0.61248561781568023</v>
      </c>
      <c r="BY38" s="76">
        <v>0.46968017566679687</v>
      </c>
      <c r="BZ38" s="76">
        <f t="shared" si="28"/>
        <v>1.0821657934824771</v>
      </c>
      <c r="CA38" s="76"/>
      <c r="CB38" s="31">
        <f t="shared" si="29"/>
        <v>2.3405169267602499</v>
      </c>
      <c r="CC38" s="76">
        <v>1.2042700345147108</v>
      </c>
      <c r="CD38" s="76">
        <v>0.30980767932272152</v>
      </c>
      <c r="CE38" s="76">
        <v>0.31347892181305265</v>
      </c>
      <c r="CF38" s="76">
        <f t="shared" si="30"/>
        <v>0.62328660113577417</v>
      </c>
      <c r="CH38" s="31">
        <f t="shared" si="31"/>
        <v>2.5716323827520871</v>
      </c>
      <c r="CI38" s="76">
        <v>0.51030481802269645</v>
      </c>
      <c r="CJ38" s="76">
        <v>0.30519047738461286</v>
      </c>
      <c r="CK38" s="76">
        <v>0.14750801317099851</v>
      </c>
      <c r="CL38" s="76">
        <f t="shared" si="32"/>
        <v>0.4526984905556114</v>
      </c>
      <c r="CM38" s="89"/>
      <c r="CN38" s="31">
        <f t="shared" si="33"/>
        <v>2.6917180041436728</v>
      </c>
      <c r="CO38" s="76">
        <v>2.8574564778372218E-2</v>
      </c>
      <c r="CP38" s="76">
        <v>-2.5125388916541216E-3</v>
      </c>
      <c r="CQ38" s="76">
        <v>8.6932406827457485E-3</v>
      </c>
      <c r="CR38" s="76">
        <f t="shared" si="34"/>
        <v>6.1807017910916265E-3</v>
      </c>
      <c r="CS38" s="73">
        <f t="shared" si="35"/>
        <v>0</v>
      </c>
      <c r="CT38" s="31">
        <f t="shared" si="36"/>
        <v>2.930505677421591</v>
      </c>
      <c r="CU38" s="11">
        <v>3.299637113017325</v>
      </c>
      <c r="CV38" s="76">
        <v>-1.2174362445472158</v>
      </c>
      <c r="CW38" s="76">
        <v>1.1049706874362895</v>
      </c>
      <c r="CX38" s="76">
        <f t="shared" si="37"/>
        <v>-0.11246555711092632</v>
      </c>
      <c r="CY38" s="76"/>
      <c r="CZ38" s="31">
        <f t="shared" si="38"/>
        <v>2.919374445859102</v>
      </c>
      <c r="DA38" s="76">
        <v>2.4059857897620875</v>
      </c>
      <c r="DB38" s="76">
        <v>-1.7967108130163638</v>
      </c>
      <c r="DC38" s="76">
        <v>0.80223638737311287</v>
      </c>
      <c r="DD38" s="76">
        <f t="shared" si="39"/>
        <v>-0.99447442564325095</v>
      </c>
      <c r="DF38" s="31">
        <f t="shared" si="40"/>
        <v>2.937506325372885</v>
      </c>
      <c r="DG38" s="76">
        <v>0.79003395439726709</v>
      </c>
      <c r="DH38" s="76">
        <v>0.48598528090967197</v>
      </c>
      <c r="DI38" s="76">
        <v>0.26528123474467041</v>
      </c>
      <c r="DJ38" s="76">
        <f t="shared" si="41"/>
        <v>0.75126651565434233</v>
      </c>
      <c r="DK38" s="89"/>
      <c r="DL38" s="31">
        <f t="shared" si="42"/>
        <v>3.1336395897629599</v>
      </c>
      <c r="DM38" s="76">
        <v>0.10361736885797046</v>
      </c>
      <c r="DN38" s="76">
        <v>9.3289287559476172E-2</v>
      </c>
      <c r="DO38" s="76">
        <v>3.7453065318506049E-2</v>
      </c>
      <c r="DP38" s="76">
        <f t="shared" si="43"/>
        <v>0.13074235287798222</v>
      </c>
    </row>
    <row r="39" spans="1:120">
      <c r="A39" s="73">
        <f>name!B35</f>
        <v>0</v>
      </c>
      <c r="B39" s="31">
        <f t="shared" si="1"/>
        <v>2.9211108203484271</v>
      </c>
      <c r="C39" s="11">
        <v>368.77606295320101</v>
      </c>
      <c r="D39" s="76">
        <v>84.761622092085645</v>
      </c>
      <c r="E39" s="76">
        <v>123.04528099391801</v>
      </c>
      <c r="F39" s="76">
        <f t="shared" si="2"/>
        <v>207.80690308600367</v>
      </c>
      <c r="G39" s="76"/>
      <c r="H39" s="31">
        <f t="shared" si="3"/>
        <v>2.7717249598931071</v>
      </c>
      <c r="I39" s="76">
        <v>32.837927119185728</v>
      </c>
      <c r="J39" s="76">
        <v>4.3237049506459986</v>
      </c>
      <c r="K39" s="76">
        <v>10.325129723137874</v>
      </c>
      <c r="L39" s="76">
        <f t="shared" si="4"/>
        <v>14.648834673783872</v>
      </c>
      <c r="N39" s="31">
        <f t="shared" si="5"/>
        <v>2.7656612940708758</v>
      </c>
      <c r="O39" s="76">
        <v>92.687769994006359</v>
      </c>
      <c r="P39" s="76">
        <v>19.710235186067983</v>
      </c>
      <c r="Q39" s="76">
        <v>29.071671128619347</v>
      </c>
      <c r="R39" s="76">
        <f t="shared" si="6"/>
        <v>48.781906314687333</v>
      </c>
      <c r="S39" s="89"/>
      <c r="T39" s="31">
        <f t="shared" si="7"/>
        <v>2.9997068221470746</v>
      </c>
      <c r="U39" s="76">
        <v>243.25036584000898</v>
      </c>
      <c r="V39" s="76">
        <v>60.727681955371672</v>
      </c>
      <c r="W39" s="76">
        <v>83.648480142160807</v>
      </c>
      <c r="X39" s="76">
        <f t="shared" si="8"/>
        <v>144.37616209753247</v>
      </c>
      <c r="Y39" s="73">
        <f t="shared" si="0"/>
        <v>0</v>
      </c>
      <c r="Z39" s="31">
        <f t="shared" si="9"/>
        <v>2.9792358460889012</v>
      </c>
      <c r="AA39" s="11">
        <v>289.04342517306725</v>
      </c>
      <c r="AB39" s="76">
        <v>66.861243610511465</v>
      </c>
      <c r="AC39" s="76">
        <v>98.624387051621596</v>
      </c>
      <c r="AD39" s="76">
        <f t="shared" si="10"/>
        <v>165.48563066213308</v>
      </c>
      <c r="AE39" s="76"/>
      <c r="AF39" s="31">
        <f t="shared" si="11"/>
        <v>2.8543057167711661</v>
      </c>
      <c r="AG39" s="76">
        <v>18.48236538854206</v>
      </c>
      <c r="AH39" s="76">
        <v>4.0960252972031945</v>
      </c>
      <c r="AI39" s="76">
        <v>6.0072701306023175</v>
      </c>
      <c r="AJ39" s="76">
        <f t="shared" si="12"/>
        <v>10.103295427805513</v>
      </c>
      <c r="AL39" s="31">
        <f t="shared" si="13"/>
        <v>2.8320236000210164</v>
      </c>
      <c r="AM39" s="76">
        <v>54.824002647872582</v>
      </c>
      <c r="AN39" s="76">
        <v>11.073850669427829</v>
      </c>
      <c r="AO39" s="76">
        <v>17.662068695155931</v>
      </c>
      <c r="AP39" s="76">
        <f t="shared" si="14"/>
        <v>28.735919364583758</v>
      </c>
      <c r="AQ39" s="89"/>
      <c r="AR39" s="31">
        <f t="shared" si="15"/>
        <v>3.0269513060553033</v>
      </c>
      <c r="AS39" s="76">
        <v>215.73705713665262</v>
      </c>
      <c r="AT39" s="76">
        <v>51.691367643880433</v>
      </c>
      <c r="AU39" s="76">
        <v>74.955048225863351</v>
      </c>
      <c r="AV39" s="76">
        <f t="shared" si="16"/>
        <v>126.64641586974378</v>
      </c>
      <c r="AW39" s="73">
        <f t="shared" si="17"/>
        <v>0</v>
      </c>
      <c r="AX39" s="31">
        <f t="shared" si="18"/>
        <v>2.6968748254135422</v>
      </c>
      <c r="AY39" s="11">
        <v>69.208761822942577</v>
      </c>
      <c r="AZ39" s="76">
        <v>17.364813908921313</v>
      </c>
      <c r="BA39" s="76">
        <v>21.100721406247324</v>
      </c>
      <c r="BB39" s="76">
        <f t="shared" si="19"/>
        <v>38.465535315168637</v>
      </c>
      <c r="BC39" s="76"/>
      <c r="BD39" s="31">
        <f t="shared" si="20"/>
        <v>2.6111478879813799</v>
      </c>
      <c r="BE39" s="76">
        <v>8.5643903989708114</v>
      </c>
      <c r="BF39" s="76">
        <v>2.5133510791903837</v>
      </c>
      <c r="BG39" s="76">
        <v>2.5182161637376153</v>
      </c>
      <c r="BH39" s="76">
        <f t="shared" si="21"/>
        <v>5.0315672429279985</v>
      </c>
      <c r="BJ39" s="31">
        <f t="shared" si="22"/>
        <v>2.646322122033018</v>
      </c>
      <c r="BK39" s="76">
        <v>33.438393051364635</v>
      </c>
      <c r="BL39" s="76">
        <v>5.8534198050841955</v>
      </c>
      <c r="BM39" s="76">
        <v>9.9805580750418521</v>
      </c>
      <c r="BN39" s="76">
        <f t="shared" si="23"/>
        <v>15.833977880126048</v>
      </c>
      <c r="BO39" s="89"/>
      <c r="BP39" s="31">
        <f t="shared" si="24"/>
        <v>2.7854120715325115</v>
      </c>
      <c r="BQ39" s="76">
        <v>27.205978372607124</v>
      </c>
      <c r="BR39" s="76">
        <v>8.9980430246467371</v>
      </c>
      <c r="BS39" s="76">
        <v>8.6019471674678574</v>
      </c>
      <c r="BT39" s="76">
        <f t="shared" si="25"/>
        <v>17.599990192114596</v>
      </c>
      <c r="BU39" s="73">
        <f t="shared" si="26"/>
        <v>0</v>
      </c>
      <c r="BV39" s="31">
        <f t="shared" si="27"/>
        <v>2.5118352045522041</v>
      </c>
      <c r="BW39" s="11">
        <v>3.8656530906609365</v>
      </c>
      <c r="BX39" s="76">
        <v>1.3479415735600602</v>
      </c>
      <c r="BY39" s="76">
        <v>1.08842630099127</v>
      </c>
      <c r="BZ39" s="76">
        <f t="shared" si="28"/>
        <v>2.4363678745513302</v>
      </c>
      <c r="CA39" s="76"/>
      <c r="CB39" s="31">
        <f t="shared" si="29"/>
        <v>2.415283547581426</v>
      </c>
      <c r="CC39" s="76">
        <v>1.9483930173046786</v>
      </c>
      <c r="CD39" s="76">
        <v>0.36760454555590533</v>
      </c>
      <c r="CE39" s="76">
        <v>0.52517741956185582</v>
      </c>
      <c r="CF39" s="76">
        <f t="shared" si="30"/>
        <v>0.89278196511776109</v>
      </c>
      <c r="CH39" s="31">
        <f t="shared" si="31"/>
        <v>2.60322084904967</v>
      </c>
      <c r="CI39" s="76">
        <v>1.6099297426070227</v>
      </c>
      <c r="CJ39" s="76">
        <v>0.94206574115965114</v>
      </c>
      <c r="CK39" s="76">
        <v>0.47176413259982158</v>
      </c>
      <c r="CL39" s="76">
        <f t="shared" si="32"/>
        <v>1.4138298737594728</v>
      </c>
      <c r="CM39" s="89"/>
      <c r="CN39" s="31">
        <f t="shared" si="33"/>
        <v>2.6399932413593952</v>
      </c>
      <c r="CO39" s="76">
        <v>0.30733033074923499</v>
      </c>
      <c r="CP39" s="76">
        <v>3.8271286844503753E-2</v>
      </c>
      <c r="CQ39" s="76">
        <v>9.148474882959258E-2</v>
      </c>
      <c r="CR39" s="76">
        <f t="shared" si="34"/>
        <v>0.12975603567409633</v>
      </c>
      <c r="CS39" s="73">
        <f t="shared" si="35"/>
        <v>0</v>
      </c>
      <c r="CT39" s="31">
        <f t="shared" si="36"/>
        <v>2.9328961439813339</v>
      </c>
      <c r="CU39" s="11">
        <v>6.6582228665302994</v>
      </c>
      <c r="CV39" s="76">
        <v>-0.81237700090717724</v>
      </c>
      <c r="CW39" s="76">
        <v>2.2317462350578254</v>
      </c>
      <c r="CX39" s="76">
        <f t="shared" si="37"/>
        <v>1.4193692341506483</v>
      </c>
      <c r="CY39" s="76"/>
      <c r="CZ39" s="31">
        <f t="shared" si="38"/>
        <v>2.9056172918835443</v>
      </c>
      <c r="DA39" s="76">
        <v>3.8427783143681786</v>
      </c>
      <c r="DB39" s="76">
        <v>-2.6532759713034841</v>
      </c>
      <c r="DC39" s="76">
        <v>1.2744660092360849</v>
      </c>
      <c r="DD39" s="76">
        <f t="shared" si="39"/>
        <v>-1.3788099620673993</v>
      </c>
      <c r="DF39" s="31">
        <f t="shared" si="40"/>
        <v>2.9700241427257357</v>
      </c>
      <c r="DG39" s="76">
        <v>2.8154445521621203</v>
      </c>
      <c r="DH39" s="76">
        <v>1.840898970396307</v>
      </c>
      <c r="DI39" s="76">
        <v>0.95728022582174022</v>
      </c>
      <c r="DJ39" s="76">
        <f t="shared" si="41"/>
        <v>2.7981791962180473</v>
      </c>
      <c r="DK39" s="89"/>
      <c r="DL39" s="31">
        <f t="shared" si="42"/>
        <v>0</v>
      </c>
      <c r="DM39" s="76">
        <v>0</v>
      </c>
      <c r="DN39" s="76">
        <v>0</v>
      </c>
      <c r="DO39" s="76">
        <v>0</v>
      </c>
      <c r="DP39" s="76">
        <f t="shared" si="43"/>
        <v>0</v>
      </c>
    </row>
    <row r="40" spans="1:120">
      <c r="A40" s="73">
        <f>name!B36</f>
        <v>0</v>
      </c>
      <c r="B40" s="31">
        <f t="shared" si="1"/>
        <v>2.6156670918794589</v>
      </c>
      <c r="C40" s="11">
        <v>59.103598741996336</v>
      </c>
      <c r="D40" s="76">
        <v>10.931351340026987</v>
      </c>
      <c r="E40" s="76">
        <v>17.412118425033665</v>
      </c>
      <c r="F40" s="76">
        <f t="shared" si="2"/>
        <v>28.343469765060654</v>
      </c>
      <c r="G40" s="76"/>
      <c r="H40" s="31">
        <f t="shared" si="3"/>
        <v>2.9162137159606694</v>
      </c>
      <c r="I40" s="76">
        <v>7.0907516731659292</v>
      </c>
      <c r="J40" s="76">
        <v>1.9187056475680879</v>
      </c>
      <c r="K40" s="76">
        <v>2.3613912018919283</v>
      </c>
      <c r="L40" s="76">
        <f t="shared" si="4"/>
        <v>4.2800968494600165</v>
      </c>
      <c r="N40" s="31">
        <f t="shared" si="5"/>
        <v>2.7970408811855085</v>
      </c>
      <c r="O40" s="76">
        <v>18.191156691215305</v>
      </c>
      <c r="P40" s="76">
        <v>8.022238906562599</v>
      </c>
      <c r="Q40" s="76">
        <v>5.7787557135900602</v>
      </c>
      <c r="R40" s="76">
        <f t="shared" si="6"/>
        <v>13.800994620152659</v>
      </c>
      <c r="S40" s="89"/>
      <c r="T40" s="31">
        <f t="shared" si="7"/>
        <v>2.4523227678848292</v>
      </c>
      <c r="U40" s="76">
        <v>33.821690377615099</v>
      </c>
      <c r="V40" s="76">
        <v>0.99040678589629894</v>
      </c>
      <c r="W40" s="76">
        <v>9.2719715095516726</v>
      </c>
      <c r="X40" s="76">
        <f t="shared" si="8"/>
        <v>10.262378295447972</v>
      </c>
      <c r="Y40" s="73">
        <f t="shared" si="0"/>
        <v>0</v>
      </c>
      <c r="Z40" s="31">
        <f t="shared" si="9"/>
        <v>2.484409578072122</v>
      </c>
      <c r="AA40" s="11">
        <v>44.995646288457721</v>
      </c>
      <c r="AB40" s="76">
        <v>0.7961289357498379</v>
      </c>
      <c r="AC40" s="76">
        <v>12.515037145045216</v>
      </c>
      <c r="AD40" s="76">
        <f t="shared" si="10"/>
        <v>13.311166080795054</v>
      </c>
      <c r="AE40" s="76"/>
      <c r="AF40" s="31">
        <f t="shared" si="11"/>
        <v>2.5511173362787742</v>
      </c>
      <c r="AG40" s="76">
        <v>2.5406257516550319</v>
      </c>
      <c r="AH40" s="76">
        <v>0.3259075522826399</v>
      </c>
      <c r="AI40" s="76">
        <v>0.72784543832994497</v>
      </c>
      <c r="AJ40" s="76">
        <f t="shared" si="12"/>
        <v>1.0537529906125849</v>
      </c>
      <c r="AL40" s="31">
        <f t="shared" si="13"/>
        <v>2.6421330232528906</v>
      </c>
      <c r="AM40" s="76">
        <v>11.02643601927363</v>
      </c>
      <c r="AN40" s="76">
        <v>-0.16285332189494414</v>
      </c>
      <c r="AO40" s="76">
        <v>3.2852845394032442</v>
      </c>
      <c r="AP40" s="76">
        <f t="shared" si="14"/>
        <v>3.1224312175083</v>
      </c>
      <c r="AQ40" s="89"/>
      <c r="AR40" s="31">
        <f t="shared" si="15"/>
        <v>2.4231158731658597</v>
      </c>
      <c r="AS40" s="76">
        <v>31.42858451752906</v>
      </c>
      <c r="AT40" s="76">
        <v>0.63307470536214216</v>
      </c>
      <c r="AU40" s="76">
        <v>8.5019071673120266</v>
      </c>
      <c r="AV40" s="76">
        <f t="shared" si="16"/>
        <v>9.1349818726741692</v>
      </c>
      <c r="AW40" s="73">
        <f t="shared" si="17"/>
        <v>0</v>
      </c>
      <c r="AX40" s="31">
        <f t="shared" si="18"/>
        <v>2.675817093692956</v>
      </c>
      <c r="AY40" s="11">
        <v>5.0502971452334489</v>
      </c>
      <c r="AZ40" s="76">
        <v>0.88079477764455349</v>
      </c>
      <c r="BA40" s="76">
        <v>1.5262601500564552</v>
      </c>
      <c r="BB40" s="76">
        <f t="shared" si="19"/>
        <v>2.4070549277010089</v>
      </c>
      <c r="BC40" s="76"/>
      <c r="BD40" s="31">
        <f t="shared" si="20"/>
        <v>2.6176394496400412</v>
      </c>
      <c r="BE40" s="76">
        <v>0.56332121807974112</v>
      </c>
      <c r="BF40" s="76">
        <v>6.7884082218324399E-2</v>
      </c>
      <c r="BG40" s="76">
        <v>0.16609650552913752</v>
      </c>
      <c r="BH40" s="76">
        <f t="shared" si="21"/>
        <v>0.23398058774746192</v>
      </c>
      <c r="BJ40" s="31">
        <f t="shared" si="22"/>
        <v>2.6168774278747309</v>
      </c>
      <c r="BK40" s="76">
        <v>2.8001519292734307</v>
      </c>
      <c r="BL40" s="76">
        <v>0.57994096053429567</v>
      </c>
      <c r="BM40" s="76">
        <v>0.8253617461934516</v>
      </c>
      <c r="BN40" s="76">
        <f t="shared" si="23"/>
        <v>1.4053027067277473</v>
      </c>
      <c r="BO40" s="89"/>
      <c r="BP40" s="31">
        <f t="shared" si="24"/>
        <v>2.7921892804910087</v>
      </c>
      <c r="BQ40" s="76">
        <v>1.6868239978802764</v>
      </c>
      <c r="BR40" s="76">
        <v>0.23296973489193351</v>
      </c>
      <c r="BS40" s="76">
        <v>0.53480189833386615</v>
      </c>
      <c r="BT40" s="76">
        <f t="shared" si="25"/>
        <v>0.76777163322579967</v>
      </c>
      <c r="BU40" s="73">
        <f t="shared" si="26"/>
        <v>0</v>
      </c>
      <c r="BV40" s="31">
        <f t="shared" si="27"/>
        <v>3.3032406781256851</v>
      </c>
      <c r="BW40" s="11">
        <v>7.5734451294849583</v>
      </c>
      <c r="BX40" s="76">
        <v>9.9445968505973621</v>
      </c>
      <c r="BY40" s="76">
        <v>2.9082842096564585</v>
      </c>
      <c r="BZ40" s="76">
        <f t="shared" si="28"/>
        <v>12.852881060253821</v>
      </c>
      <c r="CA40" s="76"/>
      <c r="CB40" s="31">
        <f t="shared" si="29"/>
        <v>3.3739759257654933</v>
      </c>
      <c r="CC40" s="76">
        <v>2.7837448344029059</v>
      </c>
      <c r="CD40" s="76">
        <v>2.278224621913898</v>
      </c>
      <c r="CE40" s="76">
        <v>1.0954503018874868</v>
      </c>
      <c r="CF40" s="76">
        <f t="shared" si="30"/>
        <v>3.373674923801385</v>
      </c>
      <c r="CH40" s="31">
        <f t="shared" si="31"/>
        <v>3.3175945471649371</v>
      </c>
      <c r="CI40" s="76">
        <v>4.0993032054196004</v>
      </c>
      <c r="CJ40" s="76">
        <v>7.5439376770551005</v>
      </c>
      <c r="CK40" s="76">
        <v>1.582064592612429</v>
      </c>
      <c r="CL40" s="76">
        <f t="shared" si="32"/>
        <v>9.1260022696675289</v>
      </c>
      <c r="CM40" s="89"/>
      <c r="CN40" s="31">
        <f t="shared" si="33"/>
        <v>2.9257200385051085</v>
      </c>
      <c r="CO40" s="76">
        <v>0.69039708966245217</v>
      </c>
      <c r="CP40" s="76">
        <v>0.1224345516283623</v>
      </c>
      <c r="CQ40" s="76">
        <v>0.23076931515654289</v>
      </c>
      <c r="CR40" s="76">
        <f t="shared" si="34"/>
        <v>0.35320386678490517</v>
      </c>
      <c r="CS40" s="73">
        <f t="shared" si="35"/>
        <v>0</v>
      </c>
      <c r="CT40" s="31">
        <f t="shared" si="36"/>
        <v>2.7499012245735921</v>
      </c>
      <c r="CU40" s="11">
        <v>1.4842101788202127</v>
      </c>
      <c r="CV40" s="76">
        <v>-0.69016922396476632</v>
      </c>
      <c r="CW40" s="76">
        <v>0.46253692027553084</v>
      </c>
      <c r="CX40" s="76">
        <f t="shared" si="37"/>
        <v>-0.22763230368923548</v>
      </c>
      <c r="CY40" s="76"/>
      <c r="CZ40" s="31">
        <f t="shared" si="38"/>
        <v>2.7308671095884973</v>
      </c>
      <c r="DA40" s="76">
        <v>1.2030598690282495</v>
      </c>
      <c r="DB40" s="76">
        <v>-0.75331060884677437</v>
      </c>
      <c r="DC40" s="76">
        <v>0.37199895614535888</v>
      </c>
      <c r="DD40" s="76">
        <f t="shared" si="39"/>
        <v>-0.38131165270141548</v>
      </c>
      <c r="DF40" s="31">
        <f t="shared" si="40"/>
        <v>2.8492227911662393</v>
      </c>
      <c r="DG40" s="76">
        <v>0.26526553724864882</v>
      </c>
      <c r="DH40" s="76">
        <v>6.1213590868147122E-2</v>
      </c>
      <c r="DI40" s="76">
        <v>8.6044835380935866E-2</v>
      </c>
      <c r="DJ40" s="76">
        <f t="shared" si="41"/>
        <v>0.14725842624908297</v>
      </c>
      <c r="DK40" s="89"/>
      <c r="DL40" s="31">
        <f t="shared" si="42"/>
        <v>2.5221830839160519</v>
      </c>
      <c r="DM40" s="76">
        <v>1.5884772543314236E-2</v>
      </c>
      <c r="DN40" s="76">
        <v>1.9277940138610408E-3</v>
      </c>
      <c r="DO40" s="76">
        <v>4.4931287492361305E-3</v>
      </c>
      <c r="DP40" s="76">
        <f t="shared" si="43"/>
        <v>6.4209227630971713E-3</v>
      </c>
    </row>
    <row r="41" spans="1:120">
      <c r="A41" s="73">
        <f>name!B37</f>
        <v>0</v>
      </c>
      <c r="B41" s="31">
        <f t="shared" si="1"/>
        <v>2.6219584526235851</v>
      </c>
      <c r="C41" s="11">
        <v>9.5199829855549893</v>
      </c>
      <c r="D41" s="76">
        <v>1.2808958930051737</v>
      </c>
      <c r="E41" s="76">
        <v>2.8121772094303279</v>
      </c>
      <c r="F41" s="76">
        <f t="shared" si="2"/>
        <v>4.0930731024355014</v>
      </c>
      <c r="G41" s="76"/>
      <c r="H41" s="31">
        <f t="shared" si="3"/>
        <v>2.4658199500782629</v>
      </c>
      <c r="I41" s="76">
        <v>0.81619786230081037</v>
      </c>
      <c r="J41" s="76">
        <v>0.237585138792064</v>
      </c>
      <c r="K41" s="76">
        <v>0.22512559128548079</v>
      </c>
      <c r="L41" s="76">
        <f t="shared" si="4"/>
        <v>0.46271073007754482</v>
      </c>
      <c r="N41" s="31">
        <f t="shared" si="5"/>
        <v>2.6634862095569645</v>
      </c>
      <c r="O41" s="76">
        <v>2.0711276399167695</v>
      </c>
      <c r="P41" s="76">
        <v>0.44161042637100889</v>
      </c>
      <c r="Q41" s="76">
        <v>0.62268224619976209</v>
      </c>
      <c r="R41" s="76">
        <f t="shared" si="6"/>
        <v>1.0642926725707711</v>
      </c>
      <c r="S41" s="89"/>
      <c r="T41" s="31">
        <f t="shared" si="7"/>
        <v>2.628048625603352</v>
      </c>
      <c r="U41" s="76">
        <v>6.6326574833374119</v>
      </c>
      <c r="V41" s="76">
        <v>0.60170032784210092</v>
      </c>
      <c r="W41" s="76">
        <v>1.9643693719450848</v>
      </c>
      <c r="X41" s="76">
        <f t="shared" si="8"/>
        <v>2.5660696997871857</v>
      </c>
      <c r="Y41" s="73">
        <f t="shared" si="0"/>
        <v>0</v>
      </c>
      <c r="Z41" s="31">
        <f t="shared" si="9"/>
        <v>2.6231625982701789</v>
      </c>
      <c r="AA41" s="11">
        <v>7.8178668346409639</v>
      </c>
      <c r="AB41" s="76">
        <v>0.85873650454850714</v>
      </c>
      <c r="AC41" s="76">
        <v>2.3105650783484251</v>
      </c>
      <c r="AD41" s="76">
        <f t="shared" si="10"/>
        <v>3.1693015828969324</v>
      </c>
      <c r="AE41" s="76"/>
      <c r="AF41" s="31">
        <f t="shared" si="11"/>
        <v>2.4078323200257934</v>
      </c>
      <c r="AG41" s="76">
        <v>0.42302413000387928</v>
      </c>
      <c r="AH41" s="76">
        <v>0.33710538828897285</v>
      </c>
      <c r="AI41" s="76">
        <v>0.11363296527709778</v>
      </c>
      <c r="AJ41" s="76">
        <f t="shared" si="12"/>
        <v>0.45073835356607062</v>
      </c>
      <c r="AL41" s="31">
        <f t="shared" si="13"/>
        <v>2.7256227849607129</v>
      </c>
      <c r="AM41" s="76">
        <v>1.0976496509709948</v>
      </c>
      <c r="AN41" s="76">
        <v>1.0248190705673856E-3</v>
      </c>
      <c r="AO41" s="76">
        <v>0.33867155545083699</v>
      </c>
      <c r="AP41" s="76">
        <f t="shared" si="14"/>
        <v>0.33969637452140439</v>
      </c>
      <c r="AQ41" s="89"/>
      <c r="AR41" s="31">
        <f t="shared" si="15"/>
        <v>2.6195513042214014</v>
      </c>
      <c r="AS41" s="76">
        <v>6.2971930536660903</v>
      </c>
      <c r="AT41" s="76">
        <v>0.52060629718896689</v>
      </c>
      <c r="AU41" s="76">
        <v>1.8582605576204905</v>
      </c>
      <c r="AV41" s="76">
        <f t="shared" si="16"/>
        <v>2.3788668548094574</v>
      </c>
      <c r="AW41" s="73">
        <f t="shared" si="17"/>
        <v>0</v>
      </c>
      <c r="AX41" s="31">
        <f t="shared" si="18"/>
        <v>2.6785764491621844</v>
      </c>
      <c r="AY41" s="11">
        <v>0.96217009441048162</v>
      </c>
      <c r="AZ41" s="76">
        <v>0.19915521880321993</v>
      </c>
      <c r="BA41" s="76">
        <v>0.29111606469515938</v>
      </c>
      <c r="BB41" s="76">
        <f t="shared" si="19"/>
        <v>0.49027128349837934</v>
      </c>
      <c r="BC41" s="76"/>
      <c r="BD41" s="31">
        <f t="shared" si="20"/>
        <v>2.6372048618027666</v>
      </c>
      <c r="BE41" s="76">
        <v>0.12023971653791019</v>
      </c>
      <c r="BF41" s="76">
        <v>4.7709276205164207E-3</v>
      </c>
      <c r="BG41" s="76">
        <v>3.5750049535400286E-2</v>
      </c>
      <c r="BH41" s="76">
        <f t="shared" si="21"/>
        <v>4.052097715591671E-2</v>
      </c>
      <c r="BJ41" s="31">
        <f t="shared" si="22"/>
        <v>2.6370907343919114</v>
      </c>
      <c r="BK41" s="76">
        <v>0.59167940202908853</v>
      </c>
      <c r="BL41" s="76">
        <v>0.15764745541630559</v>
      </c>
      <c r="BM41" s="76">
        <v>0.17591143975903728</v>
      </c>
      <c r="BN41" s="76">
        <f t="shared" si="23"/>
        <v>0.33355889517534287</v>
      </c>
      <c r="BO41" s="89"/>
      <c r="BP41" s="31">
        <f t="shared" si="24"/>
        <v>2.7957236007542408</v>
      </c>
      <c r="BQ41" s="76">
        <v>0.25025097584348277</v>
      </c>
      <c r="BR41" s="76">
        <v>3.6736835766397878E-2</v>
      </c>
      <c r="BS41" s="76">
        <v>7.945457540072183E-2</v>
      </c>
      <c r="BT41" s="76">
        <f t="shared" si="25"/>
        <v>0.1161914111671197</v>
      </c>
      <c r="BU41" s="73">
        <f t="shared" si="26"/>
        <v>0</v>
      </c>
      <c r="BV41" s="31">
        <f t="shared" si="27"/>
        <v>2.5508183926929773</v>
      </c>
      <c r="BW41" s="11">
        <v>0.50584005818189604</v>
      </c>
      <c r="BX41" s="76">
        <v>0.32238456824668921</v>
      </c>
      <c r="BY41" s="76">
        <v>0.1448954785012399</v>
      </c>
      <c r="BZ41" s="76">
        <f t="shared" si="28"/>
        <v>0.46728004674792911</v>
      </c>
      <c r="CA41" s="76"/>
      <c r="CB41" s="31">
        <f t="shared" si="29"/>
        <v>2.5367449852401247</v>
      </c>
      <c r="CC41" s="76">
        <v>9.1589573227019994E-2</v>
      </c>
      <c r="CD41" s="76">
        <v>-4.2808638867016524E-3</v>
      </c>
      <c r="CE41" s="76">
        <v>2.6073802070792795E-2</v>
      </c>
      <c r="CF41" s="76">
        <f t="shared" si="30"/>
        <v>2.1792938184091143E-2</v>
      </c>
      <c r="CH41" s="31">
        <f t="shared" si="31"/>
        <v>2.5204548632431933</v>
      </c>
      <c r="CI41" s="76">
        <v>0.33966700342259021</v>
      </c>
      <c r="CJ41" s="76">
        <v>0.28850292379729831</v>
      </c>
      <c r="CK41" s="76">
        <v>9.6003947721158597E-2</v>
      </c>
      <c r="CL41" s="76">
        <f t="shared" si="32"/>
        <v>0.38450687151845692</v>
      </c>
      <c r="CM41" s="89"/>
      <c r="CN41" s="31">
        <f t="shared" si="33"/>
        <v>2.7051379124598762</v>
      </c>
      <c r="CO41" s="76">
        <v>7.458348153228582E-2</v>
      </c>
      <c r="CP41" s="76">
        <v>3.8162508336092499E-2</v>
      </c>
      <c r="CQ41" s="76">
        <v>2.2817728709288516E-2</v>
      </c>
      <c r="CR41" s="76">
        <f t="shared" si="34"/>
        <v>6.0980237045381011E-2</v>
      </c>
      <c r="CS41" s="73">
        <f t="shared" si="35"/>
        <v>0</v>
      </c>
      <c r="CT41" s="31">
        <f t="shared" si="36"/>
        <v>2.5010642333554323</v>
      </c>
      <c r="CU41" s="11">
        <v>0.23410599832164924</v>
      </c>
      <c r="CV41" s="76">
        <v>-9.9380398593242464E-2</v>
      </c>
      <c r="CW41" s="76">
        <v>6.5600587885503062E-2</v>
      </c>
      <c r="CX41" s="76">
        <f t="shared" si="37"/>
        <v>-3.3779810707739402E-2</v>
      </c>
      <c r="CY41" s="76"/>
      <c r="CZ41" s="31">
        <f t="shared" si="38"/>
        <v>2.4503054838948435</v>
      </c>
      <c r="DA41" s="76">
        <v>0.18134444253200094</v>
      </c>
      <c r="DB41" s="76">
        <v>-0.10001031323072365</v>
      </c>
      <c r="DC41" s="76">
        <v>4.9668774402189947E-2</v>
      </c>
      <c r="DD41" s="76">
        <f t="shared" si="39"/>
        <v>-5.0341538828533705E-2</v>
      </c>
      <c r="DF41" s="31">
        <f t="shared" si="40"/>
        <v>2.5559091493363884</v>
      </c>
      <c r="DG41" s="76">
        <v>4.2131583494095966E-2</v>
      </c>
      <c r="DH41" s="76">
        <v>-5.5647719131624168E-3</v>
      </c>
      <c r="DI41" s="76">
        <v>1.2095303268729192E-2</v>
      </c>
      <c r="DJ41" s="76">
        <f t="shared" si="41"/>
        <v>6.5305313555667748E-3</v>
      </c>
      <c r="DK41" s="89"/>
      <c r="DL41" s="31">
        <f t="shared" si="42"/>
        <v>3.1295401767871711</v>
      </c>
      <c r="DM41" s="76">
        <v>1.0629972295552376E-2</v>
      </c>
      <c r="DN41" s="76">
        <v>6.1946865506436119E-3</v>
      </c>
      <c r="DO41" s="76">
        <v>3.8365102145839292E-3</v>
      </c>
      <c r="DP41" s="76">
        <f t="shared" si="43"/>
        <v>1.003119676522754E-2</v>
      </c>
    </row>
    <row r="42" spans="1:120">
      <c r="A42" s="73">
        <f>name!B38</f>
        <v>0</v>
      </c>
      <c r="B42" s="31">
        <f t="shared" si="1"/>
        <v>2.7659066814350819</v>
      </c>
      <c r="C42" s="11">
        <v>41.327917877507424</v>
      </c>
      <c r="D42" s="76">
        <v>5.5428905332373821</v>
      </c>
      <c r="E42" s="76">
        <v>12.963865628503205</v>
      </c>
      <c r="F42" s="76">
        <f t="shared" si="2"/>
        <v>18.506756161740586</v>
      </c>
      <c r="G42" s="76"/>
      <c r="H42" s="31">
        <f t="shared" si="3"/>
        <v>2.5883895459776651</v>
      </c>
      <c r="I42" s="76">
        <v>6.6477909633603698</v>
      </c>
      <c r="J42" s="76">
        <v>0.46903863547743174</v>
      </c>
      <c r="K42" s="76">
        <v>1.9356115118566004</v>
      </c>
      <c r="L42" s="76">
        <f t="shared" si="4"/>
        <v>2.4046501473340323</v>
      </c>
      <c r="N42" s="31">
        <f t="shared" si="5"/>
        <v>2.6369495607399429</v>
      </c>
      <c r="O42" s="76">
        <v>13.326579267199337</v>
      </c>
      <c r="P42" s="76">
        <v>1.877839557749986</v>
      </c>
      <c r="Q42" s="76">
        <v>3.9618702925814446</v>
      </c>
      <c r="R42" s="76">
        <f t="shared" si="6"/>
        <v>5.8397098503314311</v>
      </c>
      <c r="S42" s="89"/>
      <c r="T42" s="31">
        <f t="shared" si="7"/>
        <v>2.8999820012332478</v>
      </c>
      <c r="U42" s="76">
        <v>21.35354764694771</v>
      </c>
      <c r="V42" s="76">
        <v>3.1960123400099647</v>
      </c>
      <c r="W42" s="76">
        <v>7.0663838240651593</v>
      </c>
      <c r="X42" s="76">
        <f t="shared" si="8"/>
        <v>10.262396164075124</v>
      </c>
      <c r="Y42" s="73">
        <f t="shared" si="0"/>
        <v>0</v>
      </c>
      <c r="Z42" s="31">
        <f t="shared" si="9"/>
        <v>2.8515281797403702</v>
      </c>
      <c r="AA42" s="11">
        <v>28.851400371214467</v>
      </c>
      <c r="AB42" s="76">
        <v>2.9117941769720685</v>
      </c>
      <c r="AC42" s="76">
        <v>9.3671654902328125</v>
      </c>
      <c r="AD42" s="76">
        <f t="shared" si="10"/>
        <v>12.27895966720488</v>
      </c>
      <c r="AE42" s="76"/>
      <c r="AF42" s="31">
        <f t="shared" si="11"/>
        <v>2.7312978006911237</v>
      </c>
      <c r="AG42" s="76">
        <v>2.3074493769266002</v>
      </c>
      <c r="AH42" s="76">
        <v>8.8154748807107802E-2</v>
      </c>
      <c r="AI42" s="76">
        <v>0.7136146359797787</v>
      </c>
      <c r="AJ42" s="76">
        <f t="shared" si="12"/>
        <v>0.80176938478688653</v>
      </c>
      <c r="AL42" s="31">
        <f t="shared" si="13"/>
        <v>2.6978647455589311</v>
      </c>
      <c r="AM42" s="76">
        <v>7.996889456722271</v>
      </c>
      <c r="AN42" s="76">
        <v>0.23978644928801202</v>
      </c>
      <c r="AO42" s="76">
        <v>2.4391384738532835</v>
      </c>
      <c r="AP42" s="76">
        <f t="shared" si="14"/>
        <v>2.6789249231412957</v>
      </c>
      <c r="AQ42" s="89"/>
      <c r="AR42" s="31">
        <f t="shared" si="15"/>
        <v>2.9319352041224489</v>
      </c>
      <c r="AS42" s="76">
        <v>18.547061537565593</v>
      </c>
      <c r="AT42" s="76">
        <v>2.5838529788769486</v>
      </c>
      <c r="AU42" s="76">
        <v>6.2144123803997511</v>
      </c>
      <c r="AV42" s="76">
        <f t="shared" si="16"/>
        <v>8.7982653592766997</v>
      </c>
      <c r="AW42" s="73">
        <f t="shared" si="17"/>
        <v>0</v>
      </c>
      <c r="AX42" s="31">
        <f t="shared" si="18"/>
        <v>2.5785306073743852</v>
      </c>
      <c r="AY42" s="11">
        <v>6.5037812929444394</v>
      </c>
      <c r="AZ42" s="76">
        <v>1.0757665767010658</v>
      </c>
      <c r="BA42" s="76">
        <v>1.8856141436015186</v>
      </c>
      <c r="BB42" s="76">
        <f t="shared" si="19"/>
        <v>2.9613807203025844</v>
      </c>
      <c r="BC42" s="76"/>
      <c r="BD42" s="31">
        <f t="shared" si="20"/>
        <v>2.4818332070334348</v>
      </c>
      <c r="BE42" s="76">
        <v>1.8237775728680967</v>
      </c>
      <c r="BF42" s="76">
        <v>0.40035255591572777</v>
      </c>
      <c r="BG42" s="76">
        <v>0.50667745232067052</v>
      </c>
      <c r="BH42" s="76">
        <f t="shared" si="21"/>
        <v>0.90703000823639823</v>
      </c>
      <c r="BJ42" s="31">
        <f t="shared" si="22"/>
        <v>2.5440839893432932</v>
      </c>
      <c r="BK42" s="76">
        <v>2.6329814450846953</v>
      </c>
      <c r="BL42" s="76">
        <v>0.36645710610714699</v>
      </c>
      <c r="BM42" s="76">
        <v>0.75198133827523139</v>
      </c>
      <c r="BN42" s="76">
        <f t="shared" si="23"/>
        <v>1.1184384443823783</v>
      </c>
      <c r="BO42" s="89"/>
      <c r="BP42" s="31">
        <f t="shared" si="24"/>
        <v>2.7078220766586059</v>
      </c>
      <c r="BQ42" s="76">
        <v>2.0470222749916469</v>
      </c>
      <c r="BR42" s="76">
        <v>0.30895691467819097</v>
      </c>
      <c r="BS42" s="76">
        <v>0.62695535300561678</v>
      </c>
      <c r="BT42" s="76">
        <f t="shared" si="25"/>
        <v>0.93591226768380775</v>
      </c>
      <c r="BU42" s="73">
        <f t="shared" si="26"/>
        <v>0</v>
      </c>
      <c r="BV42" s="31">
        <f t="shared" si="27"/>
        <v>2.4352549002091939</v>
      </c>
      <c r="BW42" s="11">
        <v>3.9926676757116213</v>
      </c>
      <c r="BX42" s="76">
        <v>1.3942061283114771</v>
      </c>
      <c r="BY42" s="76">
        <v>1.0860923018676825</v>
      </c>
      <c r="BZ42" s="76">
        <f t="shared" si="28"/>
        <v>2.4802984301791593</v>
      </c>
      <c r="CA42" s="76"/>
      <c r="CB42" s="31">
        <f t="shared" si="29"/>
        <v>2.3820319758712349</v>
      </c>
      <c r="CC42" s="76">
        <v>1.5804510737327937</v>
      </c>
      <c r="CD42" s="76">
        <v>0.54763313458440666</v>
      </c>
      <c r="CE42" s="76">
        <v>0.41949600254904829</v>
      </c>
      <c r="CF42" s="76">
        <f t="shared" si="30"/>
        <v>0.96712913713345494</v>
      </c>
      <c r="CH42" s="31">
        <f t="shared" si="31"/>
        <v>2.4397967914120189</v>
      </c>
      <c r="CI42" s="76">
        <v>1.8177774091588061</v>
      </c>
      <c r="CJ42" s="76">
        <v>0.71493905267938562</v>
      </c>
      <c r="CK42" s="76">
        <v>0.49550036268130071</v>
      </c>
      <c r="CL42" s="76">
        <f t="shared" si="32"/>
        <v>1.2104394153606863</v>
      </c>
      <c r="CM42" s="89"/>
      <c r="CN42" s="31">
        <f t="shared" si="33"/>
        <v>2.5618317898631338</v>
      </c>
      <c r="CO42" s="76">
        <v>0.59443919282002144</v>
      </c>
      <c r="CP42" s="76">
        <v>0.13163394104768467</v>
      </c>
      <c r="CQ42" s="76">
        <v>0.1710959366373333</v>
      </c>
      <c r="CR42" s="76">
        <f t="shared" si="34"/>
        <v>0.30272987768501797</v>
      </c>
      <c r="CS42" s="73">
        <f t="shared" si="35"/>
        <v>0</v>
      </c>
      <c r="CT42" s="31">
        <f t="shared" si="36"/>
        <v>2.7812246199814927</v>
      </c>
      <c r="CU42" s="11">
        <v>1.9800685376368916</v>
      </c>
      <c r="CV42" s="76">
        <v>0.16112365125277109</v>
      </c>
      <c r="CW42" s="76">
        <v>0.62499369280119021</v>
      </c>
      <c r="CX42" s="76">
        <f t="shared" si="37"/>
        <v>0.78611734405396128</v>
      </c>
      <c r="CY42" s="76"/>
      <c r="CZ42" s="31">
        <f t="shared" si="38"/>
        <v>2.7841153979467625</v>
      </c>
      <c r="DA42" s="76">
        <v>0.93611293983287924</v>
      </c>
      <c r="DB42" s="76">
        <v>-0.56710180382981035</v>
      </c>
      <c r="DC42" s="76">
        <v>0.29582342100710285</v>
      </c>
      <c r="DD42" s="76">
        <f t="shared" si="39"/>
        <v>-0.2712783828227075</v>
      </c>
      <c r="DF42" s="31">
        <f t="shared" si="40"/>
        <v>2.7618510900035087</v>
      </c>
      <c r="DG42" s="76">
        <v>0.87893095623356221</v>
      </c>
      <c r="DH42" s="76">
        <v>0.55665694967544133</v>
      </c>
      <c r="DI42" s="76">
        <v>0.275250117771629</v>
      </c>
      <c r="DJ42" s="76">
        <f t="shared" si="41"/>
        <v>0.83190706744707033</v>
      </c>
      <c r="DK42" s="89"/>
      <c r="DL42" s="31">
        <f t="shared" si="42"/>
        <v>2.8675941660104565</v>
      </c>
      <c r="DM42" s="76">
        <v>0.16502464157045005</v>
      </c>
      <c r="DN42" s="76">
        <v>0.17156850540714014</v>
      </c>
      <c r="DO42" s="76">
        <v>5.3920154022458346E-2</v>
      </c>
      <c r="DP42" s="76">
        <f t="shared" si="43"/>
        <v>0.22548865942959848</v>
      </c>
    </row>
    <row r="43" spans="1:120">
      <c r="A43" s="73">
        <f>name!B39</f>
        <v>0</v>
      </c>
      <c r="B43" s="31">
        <f t="shared" si="1"/>
        <v>2.964323205894126</v>
      </c>
      <c r="C43" s="11">
        <v>366.60612974536059</v>
      </c>
      <c r="D43" s="76">
        <v>59.276568078745363</v>
      </c>
      <c r="E43" s="76">
        <v>124.37795424368858</v>
      </c>
      <c r="F43" s="76">
        <f t="shared" si="2"/>
        <v>183.65452232243393</v>
      </c>
      <c r="G43" s="76"/>
      <c r="H43" s="31">
        <f t="shared" si="3"/>
        <v>2.8629023744369153</v>
      </c>
      <c r="I43" s="76">
        <v>60.29612584772859</v>
      </c>
      <c r="J43" s="76">
        <v>6.2659503707421011</v>
      </c>
      <c r="K43" s="76">
        <v>19.664677844879822</v>
      </c>
      <c r="L43" s="76">
        <f t="shared" si="4"/>
        <v>25.930628215621923</v>
      </c>
      <c r="N43" s="31">
        <f t="shared" si="5"/>
        <v>2.910542307155306</v>
      </c>
      <c r="O43" s="76">
        <v>109.06467888707947</v>
      </c>
      <c r="P43" s="76">
        <v>29.524424023904043</v>
      </c>
      <c r="Q43" s="76">
        <v>36.241068661330416</v>
      </c>
      <c r="R43" s="76">
        <f t="shared" si="6"/>
        <v>65.765492685234463</v>
      </c>
      <c r="S43" s="89"/>
      <c r="T43" s="31">
        <f t="shared" si="7"/>
        <v>3.0246977932693042</v>
      </c>
      <c r="U43" s="76">
        <v>197.24532501055251</v>
      </c>
      <c r="V43" s="76">
        <v>23.486193684099216</v>
      </c>
      <c r="W43" s="76">
        <v>68.472207737478328</v>
      </c>
      <c r="X43" s="76">
        <f t="shared" si="8"/>
        <v>91.958401421577548</v>
      </c>
      <c r="Y43" s="73">
        <f t="shared" si="0"/>
        <v>0</v>
      </c>
      <c r="Z43" s="31">
        <f t="shared" si="9"/>
        <v>3.067775138448714</v>
      </c>
      <c r="AA43" s="11">
        <v>128.40645062723203</v>
      </c>
      <c r="AB43" s="76">
        <v>11.85508119620458</v>
      </c>
      <c r="AC43" s="76">
        <v>45.299963238210964</v>
      </c>
      <c r="AD43" s="76">
        <f t="shared" si="10"/>
        <v>57.155044434415544</v>
      </c>
      <c r="AE43" s="76"/>
      <c r="AF43" s="31">
        <f t="shared" si="11"/>
        <v>2.9973382412868288</v>
      </c>
      <c r="AG43" s="76">
        <v>2.355165456214976</v>
      </c>
      <c r="AH43" s="76">
        <v>0.9637811048672672</v>
      </c>
      <c r="AI43" s="76">
        <v>0.80916212463532233</v>
      </c>
      <c r="AJ43" s="76">
        <f t="shared" si="12"/>
        <v>1.7729432295025895</v>
      </c>
      <c r="AL43" s="31">
        <f t="shared" si="13"/>
        <v>2.9883483560949609</v>
      </c>
      <c r="AM43" s="76">
        <v>12.753554522103531</v>
      </c>
      <c r="AN43" s="76">
        <v>-1.189686119892166</v>
      </c>
      <c r="AO43" s="76">
        <v>4.3667772486974572</v>
      </c>
      <c r="AP43" s="76">
        <f t="shared" si="14"/>
        <v>3.1770911288052912</v>
      </c>
      <c r="AQ43" s="89"/>
      <c r="AR43" s="31">
        <f t="shared" si="15"/>
        <v>3.0781400233887757</v>
      </c>
      <c r="AS43" s="76">
        <v>113.29773064891354</v>
      </c>
      <c r="AT43" s="76">
        <v>12.080986211229478</v>
      </c>
      <c r="AU43" s="76">
        <v>40.124023864878183</v>
      </c>
      <c r="AV43" s="76">
        <f t="shared" si="16"/>
        <v>52.205010076107662</v>
      </c>
      <c r="AW43" s="73">
        <f t="shared" si="17"/>
        <v>0</v>
      </c>
      <c r="AX43" s="31">
        <f t="shared" si="18"/>
        <v>2.6535599438878954</v>
      </c>
      <c r="AY43" s="11">
        <v>85.340941379457291</v>
      </c>
      <c r="AZ43" s="76">
        <v>21.654635101028848</v>
      </c>
      <c r="BA43" s="76">
        <v>25.550385149909442</v>
      </c>
      <c r="BB43" s="76">
        <f t="shared" si="19"/>
        <v>47.20502025093829</v>
      </c>
      <c r="BC43" s="76"/>
      <c r="BD43" s="31">
        <f t="shared" si="20"/>
        <v>2.5369749451499946</v>
      </c>
      <c r="BE43" s="76">
        <v>7.9924706336224665</v>
      </c>
      <c r="BF43" s="76">
        <v>4.6323396613046155</v>
      </c>
      <c r="BG43" s="76">
        <v>2.275534005888348</v>
      </c>
      <c r="BH43" s="76">
        <f t="shared" si="21"/>
        <v>6.9078736671929635</v>
      </c>
      <c r="BJ43" s="31">
        <f t="shared" si="22"/>
        <v>2.5624762152512082</v>
      </c>
      <c r="BK43" s="76">
        <v>27.005268580631853</v>
      </c>
      <c r="BL43" s="76">
        <v>10.223864247757708</v>
      </c>
      <c r="BM43" s="76">
        <v>7.7750437532035859</v>
      </c>
      <c r="BN43" s="76">
        <f t="shared" si="23"/>
        <v>17.998908000961293</v>
      </c>
      <c r="BO43" s="89"/>
      <c r="BP43" s="31">
        <f t="shared" si="24"/>
        <v>2.7204430066313234</v>
      </c>
      <c r="BQ43" s="76">
        <v>50.343202165202975</v>
      </c>
      <c r="BR43" s="76">
        <v>6.7984311919665235</v>
      </c>
      <c r="BS43" s="76">
        <v>15.499807390817509</v>
      </c>
      <c r="BT43" s="76">
        <f t="shared" si="25"/>
        <v>22.29823858278403</v>
      </c>
      <c r="BU43" s="73">
        <f t="shared" si="26"/>
        <v>0</v>
      </c>
      <c r="BV43" s="31">
        <f t="shared" si="27"/>
        <v>3.5825178625260357</v>
      </c>
      <c r="BW43" s="11">
        <v>28.783589754031564</v>
      </c>
      <c r="BX43" s="76">
        <v>9.0490542940407099</v>
      </c>
      <c r="BY43" s="76">
        <v>12.143380105807763</v>
      </c>
      <c r="BZ43" s="76">
        <f t="shared" si="28"/>
        <v>21.192434399848473</v>
      </c>
      <c r="CA43" s="76"/>
      <c r="CB43" s="31">
        <f t="shared" si="29"/>
        <v>3.2872271423685318</v>
      </c>
      <c r="CC43" s="76">
        <v>6.0845432642854735</v>
      </c>
      <c r="CD43" s="76">
        <v>4.4133646639922466</v>
      </c>
      <c r="CE43" s="76">
        <v>2.3234851029341566</v>
      </c>
      <c r="CF43" s="76">
        <f t="shared" si="30"/>
        <v>6.7368497669264027</v>
      </c>
      <c r="CH43" s="31">
        <f t="shared" si="31"/>
        <v>3.5081488727088939</v>
      </c>
      <c r="CI43" s="76">
        <v>13.730317697403695</v>
      </c>
      <c r="CJ43" s="76">
        <v>4.0524808534125691</v>
      </c>
      <c r="CK43" s="76">
        <v>5.6529058299467811</v>
      </c>
      <c r="CL43" s="76">
        <f t="shared" si="32"/>
        <v>9.7053866833593503</v>
      </c>
      <c r="CM43" s="89"/>
      <c r="CN43" s="31">
        <f t="shared" si="33"/>
        <v>3.8896522062592975</v>
      </c>
      <c r="CO43" s="76">
        <v>8.9687287923423913</v>
      </c>
      <c r="CP43" s="76">
        <v>0.58320877663589499</v>
      </c>
      <c r="CQ43" s="76">
        <v>4.1669891729268249</v>
      </c>
      <c r="CR43" s="76">
        <f t="shared" si="34"/>
        <v>4.75019794956272</v>
      </c>
      <c r="CS43" s="73">
        <f t="shared" si="35"/>
        <v>0</v>
      </c>
      <c r="CT43" s="31">
        <f t="shared" si="36"/>
        <v>2.9202085195014771</v>
      </c>
      <c r="CU43" s="11">
        <v>124.07514798463968</v>
      </c>
      <c r="CV43" s="76">
        <v>16.717797487471227</v>
      </c>
      <c r="CW43" s="76">
        <v>41.384225749760404</v>
      </c>
      <c r="CX43" s="76">
        <f t="shared" si="37"/>
        <v>58.102023237231634</v>
      </c>
      <c r="CY43" s="76"/>
      <c r="CZ43" s="31">
        <f t="shared" si="38"/>
        <v>2.8542214955234568</v>
      </c>
      <c r="DA43" s="76">
        <v>43.863946493605674</v>
      </c>
      <c r="DB43" s="76">
        <v>-3.7435350594220274</v>
      </c>
      <c r="DC43" s="76">
        <v>14.256496611421996</v>
      </c>
      <c r="DD43" s="76">
        <f t="shared" si="39"/>
        <v>10.512961551999968</v>
      </c>
      <c r="DF43" s="31">
        <f t="shared" si="40"/>
        <v>2.9076458934621296</v>
      </c>
      <c r="DG43" s="76">
        <v>55.575538086940398</v>
      </c>
      <c r="DH43" s="76">
        <v>16.43776504262593</v>
      </c>
      <c r="DI43" s="76">
        <v>18.446341829482595</v>
      </c>
      <c r="DJ43" s="76">
        <f t="shared" si="41"/>
        <v>34.884106872108525</v>
      </c>
      <c r="DK43" s="89"/>
      <c r="DL43" s="31">
        <f t="shared" si="42"/>
        <v>3.0647677202802814</v>
      </c>
      <c r="DM43" s="76">
        <v>24.635663404093616</v>
      </c>
      <c r="DN43" s="76">
        <v>4.0235675042673211</v>
      </c>
      <c r="DO43" s="76">
        <v>8.6813873088558129</v>
      </c>
      <c r="DP43" s="76">
        <f t="shared" si="43"/>
        <v>12.704954813123134</v>
      </c>
    </row>
    <row r="44" spans="1:120">
      <c r="A44" s="73">
        <f>name!B40</f>
        <v>0</v>
      </c>
      <c r="B44" s="31">
        <f t="shared" si="1"/>
        <v>2.8357475835989687</v>
      </c>
      <c r="C44" s="11">
        <v>393.35784380285861</v>
      </c>
      <c r="D44" s="76">
        <v>-15.846501627171115</v>
      </c>
      <c r="E44" s="76">
        <v>126.91230773625192</v>
      </c>
      <c r="F44" s="76">
        <f t="shared" si="2"/>
        <v>111.0658061090808</v>
      </c>
      <c r="G44" s="76"/>
      <c r="H44" s="31">
        <f t="shared" si="3"/>
        <v>2.7516949963118487</v>
      </c>
      <c r="I44" s="76">
        <v>59.61461044933764</v>
      </c>
      <c r="J44" s="76">
        <v>-20.900434984544614</v>
      </c>
      <c r="K44" s="76">
        <v>18.591854917813837</v>
      </c>
      <c r="L44" s="76">
        <f t="shared" si="4"/>
        <v>-2.3085800667307765</v>
      </c>
      <c r="N44" s="31">
        <f t="shared" si="5"/>
        <v>2.7239499243143506</v>
      </c>
      <c r="O44" s="76">
        <v>173.18501469973404</v>
      </c>
      <c r="P44" s="76">
        <v>-1.7972543490150141</v>
      </c>
      <c r="Q44" s="76">
        <v>53.398033728841654</v>
      </c>
      <c r="R44" s="76">
        <f t="shared" si="6"/>
        <v>51.600779379826641</v>
      </c>
      <c r="S44" s="89"/>
      <c r="T44" s="31">
        <f t="shared" si="7"/>
        <v>2.9858531510617459</v>
      </c>
      <c r="U44" s="76">
        <v>160.55821865378698</v>
      </c>
      <c r="V44" s="76">
        <v>6.8511877063885063</v>
      </c>
      <c r="W44" s="76">
        <v>54.922419089596445</v>
      </c>
      <c r="X44" s="76">
        <f t="shared" si="8"/>
        <v>61.773606795984954</v>
      </c>
      <c r="Y44" s="73">
        <f t="shared" si="0"/>
        <v>0</v>
      </c>
      <c r="Z44" s="31">
        <f t="shared" si="9"/>
        <v>2.9519471351278748</v>
      </c>
      <c r="AA44" s="11">
        <v>193.55143168230654</v>
      </c>
      <c r="AB44" s="76">
        <v>39.567328495072999</v>
      </c>
      <c r="AC44" s="76">
        <v>65.354521617917186</v>
      </c>
      <c r="AD44" s="76">
        <f t="shared" si="10"/>
        <v>104.92185011299019</v>
      </c>
      <c r="AE44" s="76"/>
      <c r="AF44" s="31">
        <f t="shared" si="11"/>
        <v>2.732765888214872</v>
      </c>
      <c r="AG44" s="76">
        <v>8.9496893108903919</v>
      </c>
      <c r="AH44" s="76">
        <v>-0.38086275940552278</v>
      </c>
      <c r="AI44" s="76">
        <v>2.7695053307141997</v>
      </c>
      <c r="AJ44" s="76">
        <f t="shared" si="12"/>
        <v>2.3886425713086767</v>
      </c>
      <c r="AL44" s="31">
        <f t="shared" si="13"/>
        <v>2.7942517550996859</v>
      </c>
      <c r="AM44" s="76">
        <v>63.890128782218703</v>
      </c>
      <c r="AN44" s="76">
        <v>26.216367345241078</v>
      </c>
      <c r="AO44" s="76">
        <v>20.273036384531288</v>
      </c>
      <c r="AP44" s="76">
        <f t="shared" si="14"/>
        <v>46.489403729772363</v>
      </c>
      <c r="AQ44" s="89"/>
      <c r="AR44" s="31">
        <f t="shared" si="15"/>
        <v>3.0505088630622845</v>
      </c>
      <c r="AS44" s="76">
        <v>120.71161358919746</v>
      </c>
      <c r="AT44" s="76">
        <v>13.731823909237447</v>
      </c>
      <c r="AU44" s="76">
        <v>42.311979902671695</v>
      </c>
      <c r="AV44" s="76">
        <f t="shared" si="16"/>
        <v>56.043803811909143</v>
      </c>
      <c r="AW44" s="73">
        <f t="shared" si="17"/>
        <v>0</v>
      </c>
      <c r="AX44" s="31">
        <f t="shared" si="18"/>
        <v>2.6545992493075765</v>
      </c>
      <c r="AY44" s="11">
        <v>136.55603857187839</v>
      </c>
      <c r="AZ44" s="76">
        <v>-43.002314866399423</v>
      </c>
      <c r="BA44" s="76">
        <v>40.901735073909045</v>
      </c>
      <c r="BB44" s="76">
        <f t="shared" si="19"/>
        <v>-2.1005797924903788</v>
      </c>
      <c r="BC44" s="76"/>
      <c r="BD44" s="31">
        <f t="shared" si="20"/>
        <v>2.5646880453044751</v>
      </c>
      <c r="BE44" s="76">
        <v>18.059085654406232</v>
      </c>
      <c r="BF44" s="76">
        <v>-9.0180538971045241</v>
      </c>
      <c r="BG44" s="76">
        <v>5.2043788432435791</v>
      </c>
      <c r="BH44" s="76">
        <f t="shared" si="21"/>
        <v>-3.813675053860945</v>
      </c>
      <c r="BJ44" s="31">
        <f t="shared" si="22"/>
        <v>2.6194787613104564</v>
      </c>
      <c r="BK44" s="76">
        <v>81.562939535953078</v>
      </c>
      <c r="BL44" s="76">
        <v>-26.535125434477635</v>
      </c>
      <c r="BM44" s="76">
        <v>24.06794423722156</v>
      </c>
      <c r="BN44" s="76">
        <f t="shared" si="23"/>
        <v>-2.4671811972560747</v>
      </c>
      <c r="BO44" s="89"/>
      <c r="BP44" s="31">
        <f t="shared" si="24"/>
        <v>2.775188253093952</v>
      </c>
      <c r="BQ44" s="76">
        <v>36.93401338151908</v>
      </c>
      <c r="BR44" s="76">
        <v>-7.4491355348172679</v>
      </c>
      <c r="BS44" s="76">
        <v>11.629411993443906</v>
      </c>
      <c r="BT44" s="76">
        <f t="shared" si="25"/>
        <v>4.1802764586266381</v>
      </c>
      <c r="BU44" s="73">
        <f t="shared" si="26"/>
        <v>0</v>
      </c>
      <c r="BV44" s="31">
        <f t="shared" si="27"/>
        <v>2.8583954213786456</v>
      </c>
      <c r="BW44" s="11">
        <v>20.489593186295824</v>
      </c>
      <c r="BX44" s="76">
        <v>-3.6169124626271385</v>
      </c>
      <c r="BY44" s="76">
        <v>6.6704706699605909</v>
      </c>
      <c r="BZ44" s="76">
        <f t="shared" si="28"/>
        <v>3.0535582073334524</v>
      </c>
      <c r="CA44" s="76"/>
      <c r="CB44" s="31">
        <f t="shared" si="29"/>
        <v>2.886706102007186</v>
      </c>
      <c r="CC44" s="76">
        <v>8.3246385618980643</v>
      </c>
      <c r="CD44" s="76">
        <v>-2.3561745304099531</v>
      </c>
      <c r="CE44" s="76">
        <v>2.7405296991725199</v>
      </c>
      <c r="CF44" s="76">
        <f t="shared" si="30"/>
        <v>0.38435516876256681</v>
      </c>
      <c r="CH44" s="31">
        <f t="shared" si="31"/>
        <v>2.8369795300950962</v>
      </c>
      <c r="CI44" s="76">
        <v>10.970091359887151</v>
      </c>
      <c r="CJ44" s="76">
        <v>-1.2157453343966669</v>
      </c>
      <c r="CK44" s="76">
        <v>3.541109966200767</v>
      </c>
      <c r="CL44" s="76">
        <f t="shared" si="32"/>
        <v>2.3253646318041001</v>
      </c>
      <c r="CM44" s="89"/>
      <c r="CN44" s="31">
        <f t="shared" si="33"/>
        <v>2.8573458698798015</v>
      </c>
      <c r="CO44" s="76">
        <v>1.1948632645106076</v>
      </c>
      <c r="CP44" s="76">
        <v>-4.4992597820518516E-2</v>
      </c>
      <c r="CQ44" s="76">
        <v>0.38883100458730496</v>
      </c>
      <c r="CR44" s="76">
        <f t="shared" si="34"/>
        <v>0.34383840676678645</v>
      </c>
      <c r="CS44" s="73">
        <f t="shared" si="35"/>
        <v>0</v>
      </c>
      <c r="CT44" s="31">
        <f t="shared" si="36"/>
        <v>2.8701182898648092</v>
      </c>
      <c r="CU44" s="11">
        <v>42.760780362377908</v>
      </c>
      <c r="CV44" s="76">
        <v>-8.7946027932175515</v>
      </c>
      <c r="CW44" s="76">
        <v>13.985580374465099</v>
      </c>
      <c r="CX44" s="76">
        <f t="shared" si="37"/>
        <v>5.190977581247548</v>
      </c>
      <c r="CY44" s="76"/>
      <c r="CZ44" s="31">
        <f t="shared" si="38"/>
        <v>2.8496351806148512</v>
      </c>
      <c r="DA44" s="76">
        <v>24.281196922142954</v>
      </c>
      <c r="DB44" s="76">
        <v>-9.1453437976246104</v>
      </c>
      <c r="DC44" s="76">
        <v>7.8774410446835388</v>
      </c>
      <c r="DD44" s="76">
        <f t="shared" si="39"/>
        <v>-1.2679027529410716</v>
      </c>
      <c r="DF44" s="31">
        <f t="shared" si="40"/>
        <v>2.8857004199172476</v>
      </c>
      <c r="DG44" s="76">
        <v>16.761855021675107</v>
      </c>
      <c r="DH44" s="76">
        <v>-0.26275092538178862</v>
      </c>
      <c r="DI44" s="76">
        <v>5.5159431408880319</v>
      </c>
      <c r="DJ44" s="76">
        <f t="shared" si="41"/>
        <v>5.2531922155062434</v>
      </c>
      <c r="DK44" s="89"/>
      <c r="DL44" s="31">
        <f t="shared" si="42"/>
        <v>3.0064287710700022</v>
      </c>
      <c r="DM44" s="76">
        <v>1.7177284185598474</v>
      </c>
      <c r="DN44" s="76">
        <v>0.61349192978884681</v>
      </c>
      <c r="DO44" s="76">
        <v>0.59219618889352987</v>
      </c>
      <c r="DP44" s="76">
        <f t="shared" si="43"/>
        <v>1.2056881186823767</v>
      </c>
    </row>
    <row r="45" spans="1:120">
      <c r="A45" s="73">
        <f>name!B41</f>
        <v>0</v>
      </c>
      <c r="B45" s="31">
        <f t="shared" si="1"/>
        <v>2.5589515569040877</v>
      </c>
      <c r="C45" s="11">
        <v>378.65361093918506</v>
      </c>
      <c r="D45" s="76">
        <v>36.796399092126755</v>
      </c>
      <c r="E45" s="76">
        <v>108.84998948408384</v>
      </c>
      <c r="F45" s="76">
        <f t="shared" si="2"/>
        <v>145.6463885762106</v>
      </c>
      <c r="G45" s="76"/>
      <c r="H45" s="31">
        <f t="shared" si="3"/>
        <v>2.6970336356285651</v>
      </c>
      <c r="I45" s="76">
        <v>21.232264083662649</v>
      </c>
      <c r="J45" s="76">
        <v>5.5608874318156268E-2</v>
      </c>
      <c r="K45" s="76">
        <v>6.4738297499487887</v>
      </c>
      <c r="L45" s="76">
        <f t="shared" si="4"/>
        <v>6.5294386242669447</v>
      </c>
      <c r="N45" s="31">
        <f t="shared" si="5"/>
        <v>2.6178307858164995</v>
      </c>
      <c r="O45" s="76">
        <v>54.055750144900642</v>
      </c>
      <c r="P45" s="76">
        <v>7.7932985015424325</v>
      </c>
      <c r="Q45" s="76">
        <v>15.939762430606391</v>
      </c>
      <c r="R45" s="76">
        <f t="shared" si="6"/>
        <v>23.733060932148824</v>
      </c>
      <c r="S45" s="89"/>
      <c r="T45" s="31">
        <f t="shared" si="7"/>
        <v>2.5386919147606823</v>
      </c>
      <c r="U45" s="76">
        <v>303.36559671062184</v>
      </c>
      <c r="V45" s="76">
        <v>28.947491716266153</v>
      </c>
      <c r="W45" s="76">
        <v>86.436397303528679</v>
      </c>
      <c r="X45" s="76">
        <f t="shared" si="8"/>
        <v>115.38388901979484</v>
      </c>
      <c r="Y45" s="73">
        <f t="shared" si="0"/>
        <v>0</v>
      </c>
      <c r="Z45" s="31">
        <f t="shared" si="9"/>
        <v>2.5199611178011505</v>
      </c>
      <c r="AA45" s="11">
        <v>312.18144659946984</v>
      </c>
      <c r="AB45" s="76">
        <v>28.895682554218279</v>
      </c>
      <c r="AC45" s="76">
        <v>88.21610831482117</v>
      </c>
      <c r="AD45" s="76">
        <f t="shared" si="10"/>
        <v>117.11179086903945</v>
      </c>
      <c r="AE45" s="76"/>
      <c r="AF45" s="31">
        <f t="shared" si="11"/>
        <v>2.4310222459994479</v>
      </c>
      <c r="AG45" s="76">
        <v>3.9811352808305944</v>
      </c>
      <c r="AH45" s="76">
        <v>4.5008812227039625</v>
      </c>
      <c r="AI45" s="76">
        <v>1.0808631323162383</v>
      </c>
      <c r="AJ45" s="76">
        <f t="shared" si="12"/>
        <v>5.5817443550202004</v>
      </c>
      <c r="AL45" s="31">
        <f t="shared" si="13"/>
        <v>2.4685169170641119</v>
      </c>
      <c r="AM45" s="76">
        <v>20.509890701227175</v>
      </c>
      <c r="AN45" s="76">
        <v>4.1191890490955583</v>
      </c>
      <c r="AO45" s="76">
        <v>5.6639738538481845</v>
      </c>
      <c r="AP45" s="76">
        <f t="shared" si="14"/>
        <v>9.7831629029437437</v>
      </c>
      <c r="AQ45" s="89"/>
      <c r="AR45" s="31">
        <f t="shared" si="15"/>
        <v>2.524845301627332</v>
      </c>
      <c r="AS45" s="76">
        <v>287.69042061741203</v>
      </c>
      <c r="AT45" s="76">
        <v>20.275612282418756</v>
      </c>
      <c r="AU45" s="76">
        <v>81.471271328656755</v>
      </c>
      <c r="AV45" s="76">
        <f t="shared" si="16"/>
        <v>101.7468836110755</v>
      </c>
      <c r="AW45" s="73">
        <f t="shared" si="17"/>
        <v>0</v>
      </c>
      <c r="AX45" s="31">
        <f t="shared" si="18"/>
        <v>2.6549442218402941</v>
      </c>
      <c r="AY45" s="11">
        <v>41.892929155094187</v>
      </c>
      <c r="AZ45" s="76">
        <v>9.2492751468853793</v>
      </c>
      <c r="BA45" s="76">
        <v>12.549743972538471</v>
      </c>
      <c r="BB45" s="76">
        <f t="shared" si="19"/>
        <v>21.79901911942385</v>
      </c>
      <c r="BC45" s="76"/>
      <c r="BD45" s="31">
        <f t="shared" si="20"/>
        <v>2.5532327548231981</v>
      </c>
      <c r="BE45" s="76">
        <v>6.2009149306433597</v>
      </c>
      <c r="BF45" s="76">
        <v>-0.93789945412547293</v>
      </c>
      <c r="BG45" s="76">
        <v>1.7781008484106056</v>
      </c>
      <c r="BH45" s="76">
        <f t="shared" si="21"/>
        <v>0.84020139428513263</v>
      </c>
      <c r="BJ45" s="31">
        <f t="shared" si="22"/>
        <v>2.603317774412961</v>
      </c>
      <c r="BK45" s="76">
        <v>21.307415275332314</v>
      </c>
      <c r="BL45" s="76">
        <v>2.2423318572234603</v>
      </c>
      <c r="BM45" s="76">
        <v>6.2440571353848382</v>
      </c>
      <c r="BN45" s="76">
        <f t="shared" si="23"/>
        <v>8.4863889926082976</v>
      </c>
      <c r="BO45" s="89"/>
      <c r="BP45" s="31">
        <f t="shared" si="24"/>
        <v>2.7742686070164835</v>
      </c>
      <c r="BQ45" s="76">
        <v>14.384598949118512</v>
      </c>
      <c r="BR45" s="76">
        <v>7.9448427437873912</v>
      </c>
      <c r="BS45" s="76">
        <v>4.5275859887430272</v>
      </c>
      <c r="BT45" s="76">
        <f t="shared" si="25"/>
        <v>12.472428732530418</v>
      </c>
      <c r="BU45" s="73">
        <f t="shared" si="26"/>
        <v>0</v>
      </c>
      <c r="BV45" s="31">
        <f t="shared" si="27"/>
        <v>2.6192743149682007</v>
      </c>
      <c r="BW45" s="11">
        <v>2.9857552680997586</v>
      </c>
      <c r="BX45" s="76">
        <v>0.29752966440157663</v>
      </c>
      <c r="BY45" s="76">
        <v>0.88097251477732141</v>
      </c>
      <c r="BZ45" s="76">
        <f t="shared" si="28"/>
        <v>1.1785021791788981</v>
      </c>
      <c r="CA45" s="76"/>
      <c r="CB45" s="31">
        <f t="shared" si="29"/>
        <v>2.6102783759339943</v>
      </c>
      <c r="CC45" s="76">
        <v>1.0704246420939711</v>
      </c>
      <c r="CD45" s="76">
        <v>-0.11337152429818138</v>
      </c>
      <c r="CE45" s="76">
        <v>0.31462314152439591</v>
      </c>
      <c r="CF45" s="76">
        <f t="shared" si="30"/>
        <v>0.20125161722621454</v>
      </c>
      <c r="CH45" s="31">
        <f t="shared" si="31"/>
        <v>2.6315936742941082</v>
      </c>
      <c r="CI45" s="76">
        <v>1.5955005485136557</v>
      </c>
      <c r="CJ45" s="76">
        <v>0.30848080422027463</v>
      </c>
      <c r="CK45" s="76">
        <v>0.47324789856842298</v>
      </c>
      <c r="CL45" s="76">
        <f t="shared" si="32"/>
        <v>0.78172870278869766</v>
      </c>
      <c r="CM45" s="89"/>
      <c r="CN45" s="31">
        <f t="shared" si="33"/>
        <v>2.5878378150158365</v>
      </c>
      <c r="CO45" s="76">
        <v>0.31983007749213199</v>
      </c>
      <c r="CP45" s="76">
        <v>0.10242038447948336</v>
      </c>
      <c r="CQ45" s="76">
        <v>9.3101474684502514E-2</v>
      </c>
      <c r="CR45" s="76">
        <f t="shared" si="34"/>
        <v>0.19552185916398587</v>
      </c>
      <c r="CS45" s="73">
        <f t="shared" si="35"/>
        <v>0</v>
      </c>
      <c r="CT45" s="31">
        <f t="shared" si="36"/>
        <v>2.9205088963651926</v>
      </c>
      <c r="CU45" s="11">
        <v>21.593479916521417</v>
      </c>
      <c r="CV45" s="76">
        <v>-1.6460882733784852</v>
      </c>
      <c r="CW45" s="76">
        <v>7.2031646819468875</v>
      </c>
      <c r="CX45" s="76">
        <f t="shared" si="37"/>
        <v>5.5570764085684026</v>
      </c>
      <c r="CY45" s="76"/>
      <c r="CZ45" s="31">
        <f t="shared" si="38"/>
        <v>2.8981993026460096</v>
      </c>
      <c r="DA45" s="76">
        <v>9.979789230094724</v>
      </c>
      <c r="DB45" s="76">
        <v>-3.3940013699621523</v>
      </c>
      <c r="DC45" s="76">
        <v>3.3002426276975489</v>
      </c>
      <c r="DD45" s="76">
        <f t="shared" si="39"/>
        <v>-9.3758742264603345E-2</v>
      </c>
      <c r="DF45" s="31">
        <f t="shared" si="40"/>
        <v>2.9264568687984216</v>
      </c>
      <c r="DG45" s="76">
        <v>10.642943619827502</v>
      </c>
      <c r="DH45" s="76">
        <v>1.1232967910031393</v>
      </c>
      <c r="DI45" s="76">
        <v>3.5584835428049475</v>
      </c>
      <c r="DJ45" s="76">
        <f t="shared" si="41"/>
        <v>4.6817803338080868</v>
      </c>
      <c r="DK45" s="89"/>
      <c r="DL45" s="31">
        <f t="shared" si="42"/>
        <v>3.0832482448727161</v>
      </c>
      <c r="DM45" s="76">
        <v>0.97074706659919119</v>
      </c>
      <c r="DN45" s="76">
        <v>0.62461630558052772</v>
      </c>
      <c r="DO45" s="76">
        <v>0.34443851144439169</v>
      </c>
      <c r="DP45" s="76">
        <f t="shared" si="43"/>
        <v>0.96905481702491936</v>
      </c>
    </row>
    <row r="46" spans="1:120">
      <c r="A46" s="73">
        <f>name!B42</f>
        <v>0</v>
      </c>
      <c r="B46" s="31">
        <f t="shared" si="1"/>
        <v>2.890259729191258</v>
      </c>
      <c r="C46" s="11">
        <v>596.16075467408132</v>
      </c>
      <c r="D46" s="76">
        <v>130.76412576439193</v>
      </c>
      <c r="E46" s="76">
        <v>196.53406172763593</v>
      </c>
      <c r="F46" s="76">
        <f t="shared" si="2"/>
        <v>327.29818749202786</v>
      </c>
      <c r="G46" s="76"/>
      <c r="H46" s="31">
        <f t="shared" si="3"/>
        <v>2.6788795437322488</v>
      </c>
      <c r="I46" s="76">
        <v>75.585819538445264</v>
      </c>
      <c r="J46" s="76">
        <v>4.2136979795279563</v>
      </c>
      <c r="K46" s="76">
        <v>22.872299636804904</v>
      </c>
      <c r="L46" s="76">
        <f t="shared" si="4"/>
        <v>27.085997616332861</v>
      </c>
      <c r="N46" s="31">
        <f t="shared" si="5"/>
        <v>2.706098654684097</v>
      </c>
      <c r="O46" s="76">
        <v>212.25679919065291</v>
      </c>
      <c r="P46" s="76">
        <v>64.236584035540048</v>
      </c>
      <c r="Q46" s="76">
        <v>64.962803722137807</v>
      </c>
      <c r="R46" s="76">
        <f t="shared" si="6"/>
        <v>129.19938775767787</v>
      </c>
      <c r="S46" s="89"/>
      <c r="T46" s="31">
        <f t="shared" si="7"/>
        <v>3.0660135882804918</v>
      </c>
      <c r="U46" s="76">
        <v>308.31813594498311</v>
      </c>
      <c r="V46" s="76">
        <v>62.313843749323915</v>
      </c>
      <c r="W46" s="76">
        <v>108.69895836869323</v>
      </c>
      <c r="X46" s="76">
        <f t="shared" si="8"/>
        <v>171.01280211801713</v>
      </c>
      <c r="Y46" s="73">
        <f t="shared" si="0"/>
        <v>0</v>
      </c>
      <c r="Z46" s="31">
        <f t="shared" si="9"/>
        <v>3.0502708921622101</v>
      </c>
      <c r="AA46" s="11">
        <v>335.93921919202376</v>
      </c>
      <c r="AB46" s="76">
        <v>65.992763386883993</v>
      </c>
      <c r="AC46" s="76">
        <v>117.74334207940043</v>
      </c>
      <c r="AD46" s="76">
        <f t="shared" si="10"/>
        <v>183.73610546628441</v>
      </c>
      <c r="AE46" s="76"/>
      <c r="AF46" s="31">
        <f t="shared" si="11"/>
        <v>2.772118894951725</v>
      </c>
      <c r="AG46" s="76">
        <v>6.0163041652184992</v>
      </c>
      <c r="AH46" s="76">
        <v>1.3292953942067818</v>
      </c>
      <c r="AI46" s="76">
        <v>1.8919913793244785</v>
      </c>
      <c r="AJ46" s="76">
        <f t="shared" si="12"/>
        <v>3.2212867735312605</v>
      </c>
      <c r="AL46" s="31">
        <f t="shared" si="13"/>
        <v>2.8305616396997912</v>
      </c>
      <c r="AM46" s="76">
        <v>54.066211981632996</v>
      </c>
      <c r="AN46" s="76">
        <v>15.192793130377611</v>
      </c>
      <c r="AO46" s="76">
        <v>17.40777706255945</v>
      </c>
      <c r="AP46" s="76">
        <f t="shared" si="14"/>
        <v>32.600570192937063</v>
      </c>
      <c r="AQ46" s="89"/>
      <c r="AR46" s="31">
        <f t="shared" si="15"/>
        <v>3.0988119312854945</v>
      </c>
      <c r="AS46" s="76">
        <v>275.85670304517225</v>
      </c>
      <c r="AT46" s="76">
        <v>49.470674862299603</v>
      </c>
      <c r="AU46" s="76">
        <v>98.443573637516494</v>
      </c>
      <c r="AV46" s="76">
        <f t="shared" si="16"/>
        <v>147.9142484998161</v>
      </c>
      <c r="AW46" s="73">
        <f t="shared" si="17"/>
        <v>0</v>
      </c>
      <c r="AX46" s="31">
        <f t="shared" si="18"/>
        <v>2.6039196652279051</v>
      </c>
      <c r="AY46" s="11">
        <v>159.03458473919616</v>
      </c>
      <c r="AZ46" s="76">
        <v>40.296222391531657</v>
      </c>
      <c r="BA46" s="76">
        <v>46.616544654725452</v>
      </c>
      <c r="BB46" s="76">
        <f t="shared" si="19"/>
        <v>86.912767046257102</v>
      </c>
      <c r="BC46" s="76"/>
      <c r="BD46" s="31">
        <f t="shared" si="20"/>
        <v>2.5452433226490934</v>
      </c>
      <c r="BE46" s="76">
        <v>21.770784421414771</v>
      </c>
      <c r="BF46" s="76">
        <v>-0.58525794672168419</v>
      </c>
      <c r="BG46" s="76">
        <v>6.2209156872515399</v>
      </c>
      <c r="BH46" s="76">
        <f t="shared" si="21"/>
        <v>5.6356577405298554</v>
      </c>
      <c r="BJ46" s="31">
        <f t="shared" si="22"/>
        <v>2.5795517536157053</v>
      </c>
      <c r="BK46" s="76">
        <v>109.52927387637574</v>
      </c>
      <c r="BL46" s="76">
        <v>30.843442039124554</v>
      </c>
      <c r="BM46" s="76">
        <v>31.769430063648457</v>
      </c>
      <c r="BN46" s="76">
        <f t="shared" si="23"/>
        <v>62.612872102773011</v>
      </c>
      <c r="BO46" s="89"/>
      <c r="BP46" s="31">
        <f t="shared" si="24"/>
        <v>2.7451139967111571</v>
      </c>
      <c r="BQ46" s="76">
        <v>27.734526441405688</v>
      </c>
      <c r="BR46" s="76">
        <v>10.038038299128784</v>
      </c>
      <c r="BS46" s="76">
        <v>8.6261989038254558</v>
      </c>
      <c r="BT46" s="76">
        <f t="shared" si="25"/>
        <v>18.66423720295424</v>
      </c>
      <c r="BU46" s="73">
        <f t="shared" si="26"/>
        <v>0</v>
      </c>
      <c r="BV46" s="31">
        <f t="shared" si="27"/>
        <v>2.4641512026180035</v>
      </c>
      <c r="BW46" s="11">
        <v>12.81458334002725</v>
      </c>
      <c r="BX46" s="76">
        <v>4.3895704257866655</v>
      </c>
      <c r="BY46" s="76">
        <v>3.5318857518426356</v>
      </c>
      <c r="BZ46" s="76">
        <f t="shared" si="28"/>
        <v>7.9214561776293007</v>
      </c>
      <c r="CA46" s="76"/>
      <c r="CB46" s="31">
        <f t="shared" si="29"/>
        <v>2.3360812858931101</v>
      </c>
      <c r="CC46" s="76">
        <v>6.0632147564116732</v>
      </c>
      <c r="CD46" s="76">
        <v>2.5684165487773454</v>
      </c>
      <c r="CE46" s="76">
        <v>1.5749808838887966</v>
      </c>
      <c r="CF46" s="76">
        <f t="shared" si="30"/>
        <v>4.1433974326661422</v>
      </c>
      <c r="CH46" s="31">
        <f t="shared" si="31"/>
        <v>2.5656844346393592</v>
      </c>
      <c r="CI46" s="76">
        <v>5.7160556182605653</v>
      </c>
      <c r="CJ46" s="76">
        <v>1.556033629424588</v>
      </c>
      <c r="CK46" s="76">
        <v>1.6480035734914502</v>
      </c>
      <c r="CL46" s="76">
        <f t="shared" si="32"/>
        <v>3.2040372029160382</v>
      </c>
      <c r="CM46" s="89"/>
      <c r="CN46" s="31">
        <f t="shared" si="33"/>
        <v>2.645445634877297</v>
      </c>
      <c r="CO46" s="76">
        <v>1.0353129653550115</v>
      </c>
      <c r="CP46" s="76">
        <v>0.26512024758473196</v>
      </c>
      <c r="CQ46" s="76">
        <v>0.30890129446238906</v>
      </c>
      <c r="CR46" s="76">
        <f t="shared" si="34"/>
        <v>0.57402154204712108</v>
      </c>
      <c r="CS46" s="73">
        <f t="shared" si="35"/>
        <v>0</v>
      </c>
      <c r="CT46" s="31">
        <f t="shared" si="36"/>
        <v>2.8471774384655868</v>
      </c>
      <c r="CU46" s="11">
        <v>88.372367402834058</v>
      </c>
      <c r="CV46" s="76">
        <v>20.085569560189615</v>
      </c>
      <c r="CW46" s="76">
        <v>28.642289241667434</v>
      </c>
      <c r="CX46" s="76">
        <f t="shared" si="37"/>
        <v>48.727858801857053</v>
      </c>
      <c r="CY46" s="76"/>
      <c r="CZ46" s="31">
        <f t="shared" si="38"/>
        <v>2.7832667945406842</v>
      </c>
      <c r="DA46" s="76">
        <v>41.735516195400322</v>
      </c>
      <c r="DB46" s="76">
        <v>0.90124398326551358</v>
      </c>
      <c r="DC46" s="76">
        <v>13.184411686340088</v>
      </c>
      <c r="DD46" s="76">
        <f t="shared" si="39"/>
        <v>14.085655669605602</v>
      </c>
      <c r="DF46" s="31">
        <f t="shared" si="40"/>
        <v>2.8866540918025541</v>
      </c>
      <c r="DG46" s="76">
        <v>42.945257714383601</v>
      </c>
      <c r="DH46" s="76">
        <v>16.644315236613298</v>
      </c>
      <c r="DI46" s="76">
        <v>14.137593022438447</v>
      </c>
      <c r="DJ46" s="76">
        <f t="shared" si="41"/>
        <v>30.781908259051747</v>
      </c>
      <c r="DK46" s="89"/>
      <c r="DL46" s="31">
        <f t="shared" si="42"/>
        <v>3.1047472891351457</v>
      </c>
      <c r="DM46" s="76">
        <v>3.6915934930501404</v>
      </c>
      <c r="DN46" s="76">
        <v>2.5400103403108023</v>
      </c>
      <c r="DO46" s="76">
        <v>1.320284532888897</v>
      </c>
      <c r="DP46" s="76">
        <f t="shared" si="43"/>
        <v>3.8602948731996993</v>
      </c>
    </row>
    <row r="47" spans="1:120">
      <c r="A47" s="73">
        <f>name!B43</f>
        <v>0</v>
      </c>
      <c r="B47" s="31">
        <f t="shared" si="1"/>
        <v>2.865344899385458</v>
      </c>
      <c r="C47" s="11">
        <v>40.376210097149027</v>
      </c>
      <c r="D47" s="76">
        <v>12.806927196821107</v>
      </c>
      <c r="E47" s="76">
        <v>13.180811533634204</v>
      </c>
      <c r="F47" s="76">
        <f t="shared" si="2"/>
        <v>25.987738730455312</v>
      </c>
      <c r="G47" s="76"/>
      <c r="H47" s="31">
        <f t="shared" si="3"/>
        <v>2.7751718770929079</v>
      </c>
      <c r="I47" s="76">
        <v>9.3187758939343261</v>
      </c>
      <c r="J47" s="76">
        <v>1.4740755938305261</v>
      </c>
      <c r="K47" s="76">
        <v>2.934183240230555</v>
      </c>
      <c r="L47" s="76">
        <f t="shared" si="4"/>
        <v>4.4082588340610815</v>
      </c>
      <c r="N47" s="31">
        <f t="shared" si="5"/>
        <v>2.8011029016640654</v>
      </c>
      <c r="O47" s="76">
        <v>15.51970188832003</v>
      </c>
      <c r="P47" s="76">
        <v>4.6916947620293463</v>
      </c>
      <c r="Q47" s="76">
        <v>4.9382011045192602</v>
      </c>
      <c r="R47" s="76">
        <f t="shared" si="6"/>
        <v>9.6298958665486065</v>
      </c>
      <c r="S47" s="89"/>
      <c r="T47" s="31">
        <f t="shared" si="7"/>
        <v>2.9825975993459597</v>
      </c>
      <c r="U47" s="76">
        <v>15.537732314894669</v>
      </c>
      <c r="V47" s="76">
        <v>6.6411568409612336</v>
      </c>
      <c r="W47" s="76">
        <v>5.3084271888843881</v>
      </c>
      <c r="X47" s="76">
        <f t="shared" si="8"/>
        <v>11.949584029845621</v>
      </c>
      <c r="Y47" s="73">
        <f t="shared" si="0"/>
        <v>0</v>
      </c>
      <c r="Z47" s="31">
        <f t="shared" si="9"/>
        <v>3.0248158548996429</v>
      </c>
      <c r="AA47" s="11">
        <v>21.444049548280258</v>
      </c>
      <c r="AB47" s="76">
        <v>6.4637391240695505</v>
      </c>
      <c r="AC47" s="76">
        <v>7.4444690278107304</v>
      </c>
      <c r="AD47" s="76">
        <f t="shared" si="10"/>
        <v>13.908208151880281</v>
      </c>
      <c r="AE47" s="76"/>
      <c r="AF47" s="31">
        <f t="shared" si="11"/>
        <v>3.0872958603731293</v>
      </c>
      <c r="AG47" s="76">
        <v>2.7651222683057175</v>
      </c>
      <c r="AH47" s="76">
        <v>0.53339249467469196</v>
      </c>
      <c r="AI47" s="76">
        <v>0.98258633136794948</v>
      </c>
      <c r="AJ47" s="76">
        <f t="shared" si="12"/>
        <v>1.5159788260426414</v>
      </c>
      <c r="AL47" s="31">
        <f t="shared" si="13"/>
        <v>2.9781314195511888</v>
      </c>
      <c r="AM47" s="76">
        <v>6.7043000761876437</v>
      </c>
      <c r="AN47" s="76">
        <v>0.72118551121563768</v>
      </c>
      <c r="AO47" s="76">
        <v>2.286607135241129</v>
      </c>
      <c r="AP47" s="76">
        <f t="shared" si="14"/>
        <v>3.0077926464567666</v>
      </c>
      <c r="AQ47" s="89"/>
      <c r="AR47" s="31">
        <f t="shared" si="15"/>
        <v>3.0364271872712179</v>
      </c>
      <c r="AS47" s="76">
        <v>11.974627203786897</v>
      </c>
      <c r="AT47" s="76">
        <v>5.209161118179221</v>
      </c>
      <c r="AU47" s="76">
        <v>4.1752755612016514</v>
      </c>
      <c r="AV47" s="76">
        <f t="shared" si="16"/>
        <v>9.3844366793808724</v>
      </c>
      <c r="AW47" s="73">
        <f t="shared" si="17"/>
        <v>0</v>
      </c>
      <c r="AX47" s="31">
        <f t="shared" si="18"/>
        <v>2.6056938584245515</v>
      </c>
      <c r="AY47" s="11">
        <v>11.013605155901349</v>
      </c>
      <c r="AZ47" s="76">
        <v>1.0299128541872438</v>
      </c>
      <c r="BA47" s="76">
        <v>3.2307934614555975</v>
      </c>
      <c r="BB47" s="76">
        <f t="shared" si="19"/>
        <v>4.2607063156428415</v>
      </c>
      <c r="BC47" s="76"/>
      <c r="BD47" s="31">
        <f t="shared" si="20"/>
        <v>2.5171144014275004</v>
      </c>
      <c r="BE47" s="76">
        <v>2.5657167308459536</v>
      </c>
      <c r="BF47" s="76">
        <v>-2.0249829680665472E-2</v>
      </c>
      <c r="BG47" s="76">
        <v>0.72410556877585575</v>
      </c>
      <c r="BH47" s="76">
        <f t="shared" si="21"/>
        <v>0.70385573909519028</v>
      </c>
      <c r="BJ47" s="31">
        <f t="shared" si="22"/>
        <v>2.564691401725705</v>
      </c>
      <c r="BK47" s="76">
        <v>5.4392446032435906</v>
      </c>
      <c r="BL47" s="76">
        <v>0.51504624411421973</v>
      </c>
      <c r="BM47" s="76">
        <v>1.5675173974350798</v>
      </c>
      <c r="BN47" s="76">
        <f t="shared" si="23"/>
        <v>2.0825636415492994</v>
      </c>
      <c r="BO47" s="89"/>
      <c r="BP47" s="31">
        <f t="shared" si="24"/>
        <v>2.7539661724697684</v>
      </c>
      <c r="BQ47" s="76">
        <v>3.0086438218118041</v>
      </c>
      <c r="BR47" s="76">
        <v>0.53511643975368939</v>
      </c>
      <c r="BS47" s="76">
        <v>0.93917049524466201</v>
      </c>
      <c r="BT47" s="76">
        <f t="shared" si="25"/>
        <v>1.4742869349983514</v>
      </c>
      <c r="BU47" s="73">
        <f t="shared" si="26"/>
        <v>0</v>
      </c>
      <c r="BV47" s="31">
        <f t="shared" si="27"/>
        <v>2.7769349895925721</v>
      </c>
      <c r="BW47" s="11">
        <v>2.8680773838859954</v>
      </c>
      <c r="BX47" s="76">
        <v>1.8124842888357913</v>
      </c>
      <c r="BY47" s="76">
        <v>0.90371244599220335</v>
      </c>
      <c r="BZ47" s="76">
        <f t="shared" si="28"/>
        <v>2.7161967348279945</v>
      </c>
      <c r="CA47" s="76"/>
      <c r="CB47" s="31">
        <f t="shared" si="29"/>
        <v>2.6526063565382341</v>
      </c>
      <c r="CC47" s="76">
        <v>1.133194068533085</v>
      </c>
      <c r="CD47" s="76">
        <v>0.1263303128615518</v>
      </c>
      <c r="CE47" s="76">
        <v>0.33913232926021469</v>
      </c>
      <c r="CF47" s="76">
        <f t="shared" si="30"/>
        <v>0.46546264212176647</v>
      </c>
      <c r="CH47" s="31">
        <f t="shared" si="31"/>
        <v>2.7982733108218305</v>
      </c>
      <c r="CI47" s="76">
        <v>1.5036570788687731</v>
      </c>
      <c r="CJ47" s="76">
        <v>1.358746094911804</v>
      </c>
      <c r="CK47" s="76">
        <v>0.47790189710881065</v>
      </c>
      <c r="CL47" s="76">
        <f t="shared" si="32"/>
        <v>1.8366479920206147</v>
      </c>
      <c r="CM47" s="89"/>
      <c r="CN47" s="31">
        <f t="shared" si="33"/>
        <v>3.2347595318199085</v>
      </c>
      <c r="CO47" s="76">
        <v>0.23122623648413734</v>
      </c>
      <c r="CP47" s="76">
        <v>0.32740788106243529</v>
      </c>
      <c r="CQ47" s="76">
        <v>8.6678219623177913E-2</v>
      </c>
      <c r="CR47" s="76">
        <f t="shared" si="34"/>
        <v>0.41408610068561319</v>
      </c>
      <c r="CS47" s="73">
        <f t="shared" si="35"/>
        <v>0</v>
      </c>
      <c r="CT47" s="31">
        <f t="shared" si="36"/>
        <v>2.7931156217943398</v>
      </c>
      <c r="CU47" s="11">
        <v>5.0504780090814236</v>
      </c>
      <c r="CV47" s="76">
        <v>3.5007909297285211</v>
      </c>
      <c r="CW47" s="76">
        <v>1.6018365983756719</v>
      </c>
      <c r="CX47" s="76">
        <f t="shared" si="37"/>
        <v>5.1026275281041933</v>
      </c>
      <c r="CY47" s="76"/>
      <c r="CZ47" s="31">
        <f t="shared" si="38"/>
        <v>2.74636478298389</v>
      </c>
      <c r="DA47" s="76">
        <v>2.8547428262495687</v>
      </c>
      <c r="DB47" s="76">
        <v>0.83460261597494789</v>
      </c>
      <c r="DC47" s="76">
        <v>0.88835901082653501</v>
      </c>
      <c r="DD47" s="76">
        <f t="shared" si="39"/>
        <v>1.7229616268014829</v>
      </c>
      <c r="DF47" s="31">
        <f t="shared" si="40"/>
        <v>2.8441917872239486</v>
      </c>
      <c r="DG47" s="76">
        <v>1.8725001300200237</v>
      </c>
      <c r="DH47" s="76">
        <v>2.0967169117876856</v>
      </c>
      <c r="DI47" s="76">
        <v>0.60617467473424025</v>
      </c>
      <c r="DJ47" s="76">
        <f t="shared" si="41"/>
        <v>2.7028915865219258</v>
      </c>
      <c r="DK47" s="89"/>
      <c r="DL47" s="31">
        <f t="shared" si="42"/>
        <v>2.9080384999745856</v>
      </c>
      <c r="DM47" s="76">
        <v>0.32323505281183162</v>
      </c>
      <c r="DN47" s="76">
        <v>0.5694714019658873</v>
      </c>
      <c r="DO47" s="76">
        <v>0.10730291281489671</v>
      </c>
      <c r="DP47" s="76">
        <f t="shared" si="43"/>
        <v>0.67677431478078398</v>
      </c>
    </row>
    <row r="48" spans="1:120">
      <c r="A48" s="73">
        <f>name!B44</f>
        <v>0</v>
      </c>
      <c r="B48" s="31">
        <f t="shared" si="1"/>
        <v>2.8169915417421754</v>
      </c>
      <c r="C48" s="11">
        <v>158.75130574877755</v>
      </c>
      <c r="D48" s="76">
        <v>31.053175488358242</v>
      </c>
      <c r="E48" s="76">
        <v>50.836604439456309</v>
      </c>
      <c r="F48" s="76">
        <f t="shared" si="2"/>
        <v>81.889779927814544</v>
      </c>
      <c r="G48" s="76"/>
      <c r="H48" s="31">
        <f t="shared" si="3"/>
        <v>2.7131406842493488</v>
      </c>
      <c r="I48" s="76">
        <v>37.269430586923946</v>
      </c>
      <c r="J48" s="76">
        <v>2.0080357660646397</v>
      </c>
      <c r="K48" s="76">
        <v>11.439976930786587</v>
      </c>
      <c r="L48" s="76">
        <f t="shared" si="4"/>
        <v>13.448012696851226</v>
      </c>
      <c r="N48" s="31">
        <f t="shared" si="5"/>
        <v>2.6835187325179533</v>
      </c>
      <c r="O48" s="76">
        <v>64.168727676686729</v>
      </c>
      <c r="P48" s="76">
        <v>9.648746828409589</v>
      </c>
      <c r="Q48" s="76">
        <v>19.45525621806194</v>
      </c>
      <c r="R48" s="76">
        <f t="shared" si="6"/>
        <v>29.104003046471529</v>
      </c>
      <c r="S48" s="89"/>
      <c r="T48" s="31">
        <f t="shared" si="7"/>
        <v>3.0307741956072665</v>
      </c>
      <c r="U48" s="76">
        <v>57.313147485166859</v>
      </c>
      <c r="V48" s="76">
        <v>19.396392893884016</v>
      </c>
      <c r="W48" s="76">
        <v>19.941371290607766</v>
      </c>
      <c r="X48" s="76">
        <f t="shared" si="8"/>
        <v>39.337764184491782</v>
      </c>
      <c r="Y48" s="73">
        <f t="shared" si="0"/>
        <v>0</v>
      </c>
      <c r="Z48" s="31">
        <f t="shared" si="9"/>
        <v>3.0844034831169376</v>
      </c>
      <c r="AA48" s="11">
        <v>54.043501876163091</v>
      </c>
      <c r="AB48" s="76">
        <v>16.838248878570081</v>
      </c>
      <c r="AC48" s="76">
        <v>19.18381203425853</v>
      </c>
      <c r="AD48" s="76">
        <f t="shared" si="10"/>
        <v>36.022060912828607</v>
      </c>
      <c r="AE48" s="76"/>
      <c r="AF48" s="31">
        <f t="shared" si="11"/>
        <v>3.0687126992563263</v>
      </c>
      <c r="AG48" s="76">
        <v>2.872339077635929</v>
      </c>
      <c r="AH48" s="76">
        <v>0.88105911598627318</v>
      </c>
      <c r="AI48" s="76">
        <v>1.0136737094918047</v>
      </c>
      <c r="AJ48" s="76">
        <f t="shared" si="12"/>
        <v>1.8947328254780778</v>
      </c>
      <c r="AL48" s="31">
        <f t="shared" si="13"/>
        <v>2.9854531104971826</v>
      </c>
      <c r="AM48" s="76">
        <v>8.4616752757594771</v>
      </c>
      <c r="AN48" s="76">
        <v>0.5129240985808613</v>
      </c>
      <c r="AO48" s="76">
        <v>2.8940583365838495</v>
      </c>
      <c r="AP48" s="76">
        <f t="shared" si="14"/>
        <v>3.4069824351647107</v>
      </c>
      <c r="AQ48" s="89"/>
      <c r="AR48" s="31">
        <f t="shared" si="15"/>
        <v>3.1049593059016889</v>
      </c>
      <c r="AS48" s="76">
        <v>42.709487522767688</v>
      </c>
      <c r="AT48" s="76">
        <v>15.444265664002945</v>
      </c>
      <c r="AU48" s="76">
        <v>15.276079988182877</v>
      </c>
      <c r="AV48" s="76">
        <f t="shared" si="16"/>
        <v>30.72034565218582</v>
      </c>
      <c r="AW48" s="73">
        <f t="shared" si="17"/>
        <v>0</v>
      </c>
      <c r="AX48" s="31">
        <f t="shared" si="18"/>
        <v>2.6049805214462873</v>
      </c>
      <c r="AY48" s="11">
        <v>67.279720597550053</v>
      </c>
      <c r="AZ48" s="76">
        <v>-1.7061260839949342</v>
      </c>
      <c r="BA48" s="76">
        <v>19.73016584504331</v>
      </c>
      <c r="BB48" s="76">
        <f t="shared" si="19"/>
        <v>18.024039761048375</v>
      </c>
      <c r="BC48" s="76"/>
      <c r="BD48" s="31">
        <f t="shared" si="20"/>
        <v>2.5409532368865007</v>
      </c>
      <c r="BE48" s="76">
        <v>14.926976334729311</v>
      </c>
      <c r="BF48" s="76">
        <v>-1.3830273865244627</v>
      </c>
      <c r="BG48" s="76">
        <v>4.2572967639145958</v>
      </c>
      <c r="BH48" s="76">
        <f t="shared" si="21"/>
        <v>2.8742693773901333</v>
      </c>
      <c r="BJ48" s="31">
        <f t="shared" si="22"/>
        <v>2.5796718808031471</v>
      </c>
      <c r="BK48" s="76">
        <v>40.385319730226364</v>
      </c>
      <c r="BL48" s="76">
        <v>-0.75084702548436888</v>
      </c>
      <c r="BM48" s="76">
        <v>11.714543255967428</v>
      </c>
      <c r="BN48" s="76">
        <f t="shared" si="23"/>
        <v>10.963696230483059</v>
      </c>
      <c r="BO48" s="89"/>
      <c r="BP48" s="31">
        <f t="shared" si="24"/>
        <v>2.7687485385664345</v>
      </c>
      <c r="BQ48" s="76">
        <v>11.967424532594377</v>
      </c>
      <c r="BR48" s="76">
        <v>0.42774832801389723</v>
      </c>
      <c r="BS48" s="76">
        <v>3.7583258251612852</v>
      </c>
      <c r="BT48" s="76">
        <f t="shared" si="25"/>
        <v>4.1860741531751824</v>
      </c>
      <c r="BU48" s="73">
        <f t="shared" si="26"/>
        <v>0</v>
      </c>
      <c r="BV48" s="31">
        <f t="shared" si="27"/>
        <v>2.518201489640326</v>
      </c>
      <c r="BW48" s="11">
        <v>11.027664527945932</v>
      </c>
      <c r="BX48" s="76">
        <v>1.3879359269084375</v>
      </c>
      <c r="BY48" s="76">
        <v>3.1137656010156576</v>
      </c>
      <c r="BZ48" s="76">
        <f t="shared" si="28"/>
        <v>4.5017015279240953</v>
      </c>
      <c r="CA48" s="76"/>
      <c r="CB48" s="31">
        <f t="shared" si="29"/>
        <v>2.4600010102901804</v>
      </c>
      <c r="CC48" s="76">
        <v>4.6043551889988352</v>
      </c>
      <c r="CD48" s="76">
        <v>-9.4762721156135488E-2</v>
      </c>
      <c r="CE48" s="76">
        <v>1.2666488182504458</v>
      </c>
      <c r="CF48" s="76">
        <f t="shared" si="30"/>
        <v>1.1718860970943104</v>
      </c>
      <c r="CH48" s="31">
        <f t="shared" si="31"/>
        <v>2.5135092689739569</v>
      </c>
      <c r="CI48" s="76">
        <v>5.3897928205850842</v>
      </c>
      <c r="CJ48" s="76">
        <v>0.93986804735963958</v>
      </c>
      <c r="CK48" s="76">
        <v>1.5186963016257615</v>
      </c>
      <c r="CL48" s="76">
        <f t="shared" si="32"/>
        <v>2.458564348985401</v>
      </c>
      <c r="CM48" s="89"/>
      <c r="CN48" s="31">
        <f t="shared" si="33"/>
        <v>2.7978329732376128</v>
      </c>
      <c r="CO48" s="76">
        <v>1.0335165183620134</v>
      </c>
      <c r="CP48" s="76">
        <v>0.5428306007049335</v>
      </c>
      <c r="CQ48" s="76">
        <v>0.32842048113944977</v>
      </c>
      <c r="CR48" s="76">
        <f t="shared" si="34"/>
        <v>0.87125108184438327</v>
      </c>
      <c r="CS48" s="73">
        <f t="shared" si="35"/>
        <v>0</v>
      </c>
      <c r="CT48" s="31">
        <f t="shared" si="36"/>
        <v>2.9211505487475975</v>
      </c>
      <c r="CU48" s="11">
        <v>26.400418747118454</v>
      </c>
      <c r="CV48" s="76">
        <v>14.533116766874658</v>
      </c>
      <c r="CW48" s="76">
        <v>8.8088609591388032</v>
      </c>
      <c r="CX48" s="76">
        <f t="shared" si="37"/>
        <v>23.341977726013461</v>
      </c>
      <c r="CY48" s="76"/>
      <c r="CZ48" s="31">
        <f t="shared" si="38"/>
        <v>2.8911023071172881</v>
      </c>
      <c r="DA48" s="76">
        <v>14.865759985559873</v>
      </c>
      <c r="DB48" s="76">
        <v>2.6047667577589646</v>
      </c>
      <c r="DC48" s="76">
        <v>4.9023576391297414</v>
      </c>
      <c r="DD48" s="76">
        <f t="shared" si="39"/>
        <v>7.507124396888706</v>
      </c>
      <c r="DF48" s="31">
        <f t="shared" si="40"/>
        <v>2.9320472834624356</v>
      </c>
      <c r="DG48" s="76">
        <v>9.9319398501158016</v>
      </c>
      <c r="DH48" s="76">
        <v>8.9468017079534565</v>
      </c>
      <c r="DI48" s="76">
        <v>3.3279583238849022</v>
      </c>
      <c r="DJ48" s="76">
        <f t="shared" si="41"/>
        <v>12.274760031838358</v>
      </c>
      <c r="DK48" s="89"/>
      <c r="DL48" s="31">
        <f t="shared" si="42"/>
        <v>3.1300160142738953</v>
      </c>
      <c r="DM48" s="76">
        <v>1.6027189114427818</v>
      </c>
      <c r="DN48" s="76">
        <v>2.981548301162237</v>
      </c>
      <c r="DO48" s="76">
        <v>0.57854499612415899</v>
      </c>
      <c r="DP48" s="76">
        <f t="shared" si="43"/>
        <v>3.5600932972863961</v>
      </c>
    </row>
    <row r="49" spans="1:120">
      <c r="B49" s="31"/>
      <c r="C49" s="76"/>
      <c r="D49" s="76"/>
      <c r="E49" s="76"/>
      <c r="F49" s="76"/>
      <c r="G49" s="76"/>
      <c r="H49" s="31"/>
      <c r="I49" s="76"/>
      <c r="J49" s="76"/>
      <c r="K49" s="76"/>
      <c r="L49" s="76"/>
      <c r="N49" s="31"/>
      <c r="O49" s="76"/>
      <c r="P49" s="76"/>
      <c r="Q49" s="76"/>
      <c r="R49" s="76"/>
      <c r="S49" s="89"/>
      <c r="T49" s="31"/>
      <c r="U49" s="76"/>
      <c r="V49" s="76"/>
      <c r="W49" s="76"/>
      <c r="X49" s="76"/>
      <c r="Z49" s="31"/>
      <c r="AA49" s="76"/>
      <c r="AB49" s="76"/>
      <c r="AC49" s="76"/>
      <c r="AD49" s="76"/>
      <c r="AE49" s="76"/>
      <c r="AF49" s="31"/>
      <c r="AG49" s="76"/>
      <c r="AH49" s="76"/>
      <c r="AI49" s="76"/>
      <c r="AJ49" s="76"/>
      <c r="AL49" s="31"/>
      <c r="AM49" s="76"/>
      <c r="AN49" s="76"/>
      <c r="AO49" s="76"/>
      <c r="AP49" s="76"/>
      <c r="AQ49" s="89"/>
      <c r="AR49" s="31"/>
      <c r="AS49" s="76"/>
      <c r="AT49" s="76"/>
      <c r="AU49" s="76"/>
      <c r="AV49" s="76"/>
      <c r="AX49" s="31"/>
      <c r="AY49" s="76"/>
      <c r="AZ49" s="76"/>
      <c r="BA49" s="76"/>
      <c r="BB49" s="76"/>
      <c r="BC49" s="76"/>
      <c r="BD49" s="31"/>
      <c r="BE49" s="76"/>
      <c r="BF49" s="76"/>
      <c r="BG49" s="76"/>
      <c r="BH49" s="76"/>
      <c r="BJ49" s="31"/>
      <c r="BK49" s="76"/>
      <c r="BL49" s="76"/>
      <c r="BM49" s="76"/>
      <c r="BN49" s="76"/>
      <c r="BO49" s="89"/>
      <c r="BP49" s="31"/>
      <c r="BQ49" s="76"/>
      <c r="BR49" s="76"/>
      <c r="BS49" s="76"/>
      <c r="BT49" s="76"/>
      <c r="BV49" s="31"/>
      <c r="BW49" s="76"/>
      <c r="BX49" s="76"/>
      <c r="BY49" s="76"/>
      <c r="BZ49" s="76"/>
      <c r="CA49" s="76"/>
      <c r="CB49" s="31"/>
      <c r="CC49" s="76"/>
      <c r="CD49" s="76"/>
      <c r="CE49" s="76"/>
      <c r="CF49" s="76"/>
      <c r="CH49" s="31"/>
      <c r="CI49" s="76"/>
      <c r="CJ49" s="76"/>
      <c r="CK49" s="76"/>
      <c r="CL49" s="76"/>
      <c r="CM49" s="89"/>
      <c r="CN49" s="31"/>
      <c r="CO49" s="76"/>
      <c r="CP49" s="76"/>
      <c r="CQ49" s="76"/>
      <c r="CR49" s="76"/>
      <c r="CT49" s="31"/>
      <c r="CU49" s="76"/>
      <c r="CV49" s="76"/>
      <c r="CW49" s="76"/>
      <c r="CX49" s="76"/>
      <c r="CY49" s="76"/>
      <c r="CZ49" s="31"/>
      <c r="DA49" s="76"/>
      <c r="DB49" s="76"/>
      <c r="DC49" s="76"/>
      <c r="DD49" s="76"/>
      <c r="DF49" s="31"/>
      <c r="DG49" s="76"/>
      <c r="DH49" s="76"/>
      <c r="DI49" s="76"/>
      <c r="DJ49" s="76"/>
      <c r="DK49" s="89"/>
      <c r="DL49" s="31"/>
      <c r="DM49" s="76"/>
      <c r="DN49" s="76"/>
      <c r="DO49" s="76"/>
      <c r="DP49" s="76"/>
    </row>
    <row r="50" spans="1:120">
      <c r="A50" s="74" t="str">
        <f>name!B3</f>
        <v>All industries</v>
      </c>
      <c r="B50" s="34">
        <f t="shared" si="1"/>
        <v>2.7912372459239387</v>
      </c>
      <c r="C50" s="75">
        <v>4561.2992279926211</v>
      </c>
      <c r="D50" s="75">
        <v>431.97496524334053</v>
      </c>
      <c r="E50" s="75">
        <v>1445.5882710202891</v>
      </c>
      <c r="F50" s="75">
        <f t="shared" si="2"/>
        <v>1877.5632362636297</v>
      </c>
      <c r="G50" s="75"/>
      <c r="H50" s="34">
        <f t="shared" si="3"/>
        <v>2.6517730789267446</v>
      </c>
      <c r="I50" s="75">
        <v>774.77767553257945</v>
      </c>
      <c r="J50" s="75">
        <v>-90.9176985646708</v>
      </c>
      <c r="K50" s="75">
        <v>231.78692033646578</v>
      </c>
      <c r="L50" s="75">
        <f>SUM(J50:K50)</f>
        <v>140.86922177179497</v>
      </c>
      <c r="M50" s="74"/>
      <c r="N50" s="34">
        <f t="shared" si="5"/>
        <v>2.6893242464146816</v>
      </c>
      <c r="O50" s="75">
        <v>1810.6123702397726</v>
      </c>
      <c r="P50" s="75">
        <v>208.84741372398935</v>
      </c>
      <c r="Q50" s="75">
        <v>550.29225403969679</v>
      </c>
      <c r="R50" s="75">
        <f>SUM(P50:Q50)</f>
        <v>759.13966776368613</v>
      </c>
      <c r="S50" s="90"/>
      <c r="T50" s="34">
        <f t="shared" si="7"/>
        <v>2.9376202991175049</v>
      </c>
      <c r="U50" s="75">
        <v>1975.9091822202711</v>
      </c>
      <c r="V50" s="75">
        <v>314.04525008402186</v>
      </c>
      <c r="W50" s="75">
        <v>663.50909664412427</v>
      </c>
      <c r="X50" s="75">
        <f>SUM(V50:W50)</f>
        <v>977.55434672814613</v>
      </c>
      <c r="Y50" s="74" t="str">
        <f>A50</f>
        <v>All industries</v>
      </c>
      <c r="Z50" s="34">
        <f>IF(AA50&gt;0,((1+(AC50/AA50))^(1/($A$101-$A$100))-1)*100,0)</f>
        <v>2.9771972098236787</v>
      </c>
      <c r="AA50" s="75">
        <v>2141.7348734083043</v>
      </c>
      <c r="AB50" s="75">
        <v>328.18012130131888</v>
      </c>
      <c r="AC50" s="75">
        <v>730.21185757939747</v>
      </c>
      <c r="AD50" s="75">
        <f>SUM(AB50:AC50)</f>
        <v>1058.3919788807164</v>
      </c>
      <c r="AE50" s="75"/>
      <c r="AF50" s="34">
        <f>IF(AG50&gt;0,((1+(AI50/AG50))^(1/($A$101-$A$100))-1)*100,0)</f>
        <v>3.0280155732974823</v>
      </c>
      <c r="AG50" s="75">
        <v>114.36183531349347</v>
      </c>
      <c r="AH50" s="75">
        <v>10.806009020856356</v>
      </c>
      <c r="AI50" s="75">
        <v>39.749458273691218</v>
      </c>
      <c r="AJ50" s="75">
        <f>SUM(AH50:AI50)</f>
        <v>50.555467294547576</v>
      </c>
      <c r="AK50" s="74"/>
      <c r="AL50" s="34">
        <f>IF(AM50&gt;0,((1+(AO50/AM50))^(1/($A$101-$A$100))-1)*100,0)</f>
        <v>2.9663353480916088</v>
      </c>
      <c r="AM50" s="75">
        <v>484.03376220781502</v>
      </c>
      <c r="AN50" s="75">
        <v>80.752171418150368</v>
      </c>
      <c r="AO50" s="75">
        <v>164.34415782441963</v>
      </c>
      <c r="AP50" s="75">
        <f>SUM(AN50:AO50)</f>
        <v>245.09632924256999</v>
      </c>
      <c r="AQ50" s="90"/>
      <c r="AR50" s="34">
        <f>IF(AS50&gt;0,((1+(AU50/AS50))^(1/($A$101-$A$100))-1)*100,0)</f>
        <v>2.9768281396108875</v>
      </c>
      <c r="AS50" s="75">
        <v>1543.3392758869961</v>
      </c>
      <c r="AT50" s="75">
        <v>236.62194086231219</v>
      </c>
      <c r="AU50" s="75">
        <v>526.11824148128676</v>
      </c>
      <c r="AV50" s="75">
        <f>SUM(AT50:AU50)</f>
        <v>762.74018234359892</v>
      </c>
      <c r="AW50" s="74" t="str">
        <f>Y50</f>
        <v>All industries</v>
      </c>
      <c r="AX50" s="34">
        <f>IF(AY50&gt;0,((1+(BA50/AY50))^(1/($A$101-$A$100))-1)*100,0)</f>
        <v>2.5960689907792656</v>
      </c>
      <c r="AY50" s="75">
        <v>1169.4910110900296</v>
      </c>
      <c r="AZ50" s="75">
        <v>61.012733866251224</v>
      </c>
      <c r="BA50" s="75">
        <v>341.64688672572964</v>
      </c>
      <c r="BB50" s="75">
        <f>SUM(AZ50:BA50)</f>
        <v>402.65962059198085</v>
      </c>
      <c r="BC50" s="75"/>
      <c r="BD50" s="34">
        <f>IF(BE50&gt;0,((1+(BG50/BE50))^(1/($A$101-$A$100))-1)*100,0)</f>
        <v>2.5108134589674425</v>
      </c>
      <c r="BE50" s="75">
        <v>196.77997170605971</v>
      </c>
      <c r="BF50" s="75">
        <v>-19.19988351079143</v>
      </c>
      <c r="BG50" s="75">
        <v>55.380896948664599</v>
      </c>
      <c r="BH50" s="75">
        <f>SUM(BF50:BG50)</f>
        <v>36.181013437873169</v>
      </c>
      <c r="BI50" s="74"/>
      <c r="BJ50" s="34">
        <f>IF(BK50&gt;0,((1+(BM50/BK50))^(1/($A$101-$A$100))-1)*100,0)</f>
        <v>2.5531077119064882</v>
      </c>
      <c r="BK50" s="75">
        <v>650.12175377402275</v>
      </c>
      <c r="BL50" s="75">
        <v>42.192712487148434</v>
      </c>
      <c r="BM50" s="75">
        <v>186.41100647521165</v>
      </c>
      <c r="BN50" s="75">
        <f>SUM(BL50:BM50)</f>
        <v>228.60371896236009</v>
      </c>
      <c r="BO50" s="90"/>
      <c r="BP50" s="34">
        <f>IF(BQ50&gt;0,((1+(BS50/BQ50))^(1/($A$101-$A$100))-1)*100,0)</f>
        <v>2.7334678665663192</v>
      </c>
      <c r="BQ50" s="75">
        <v>322.58928560994713</v>
      </c>
      <c r="BR50" s="75">
        <v>38.019904889894228</v>
      </c>
      <c r="BS50" s="75">
        <v>99.854983301853494</v>
      </c>
      <c r="BT50" s="75">
        <f>SUM(BR50:BS50)</f>
        <v>137.87488819174771</v>
      </c>
      <c r="BU50" s="74" t="str">
        <f>AW50</f>
        <v>All industries</v>
      </c>
      <c r="BV50" s="34">
        <f>IF(BW50&gt;0,((1+(BY50/BW50))^(1/($A$101-$A$100))-1)*100,0)</f>
        <v>2.5889208699682698</v>
      </c>
      <c r="BW50" s="75">
        <v>786.26148565798121</v>
      </c>
      <c r="BX50" s="75">
        <v>-16.768227409449015</v>
      </c>
      <c r="BY50" s="75">
        <v>228.98528730973825</v>
      </c>
      <c r="BZ50" s="75">
        <f>SUM(BX50:BY50)</f>
        <v>212.21705990028923</v>
      </c>
      <c r="CA50" s="75"/>
      <c r="CB50" s="34">
        <f>IF(CC50&gt;0,((1+(CE50/CC50))^(1/($A$101-$A$100))-1)*100,0)</f>
        <v>2.5278948366694864</v>
      </c>
      <c r="CC50" s="75">
        <v>257.91842111045776</v>
      </c>
      <c r="CD50" s="75">
        <v>-52.179148361626908</v>
      </c>
      <c r="CE50" s="75">
        <v>73.138570554183204</v>
      </c>
      <c r="CF50" s="75">
        <f>SUM(CD50:CE50)</f>
        <v>20.959422192556296</v>
      </c>
      <c r="CG50" s="74"/>
      <c r="CH50" s="34">
        <f>IF(CI50&gt;0,((1+(CK50/CI50))^(1/($A$101-$A$100))-1)*100,0)</f>
        <v>2.5655949055339189</v>
      </c>
      <c r="CI50" s="75">
        <v>462.50112579230256</v>
      </c>
      <c r="CJ50" s="75">
        <v>18.263082416840735</v>
      </c>
      <c r="CK50" s="75">
        <v>133.33911166207648</v>
      </c>
      <c r="CL50" s="75">
        <f>SUM(CJ50:CK50)</f>
        <v>151.60219407891722</v>
      </c>
      <c r="CM50" s="90"/>
      <c r="CN50" s="34">
        <f>IF(CO50&gt;0,((1+(CQ50/CO50))^(1/($A$101-$A$100))-1)*100,0)</f>
        <v>2.9840981402702971</v>
      </c>
      <c r="CO50" s="75">
        <v>65.841938755220539</v>
      </c>
      <c r="CP50" s="75">
        <v>17.147838535337179</v>
      </c>
      <c r="CQ50" s="75">
        <v>22.507605093478684</v>
      </c>
      <c r="CR50" s="75">
        <f>SUM(CP50:CQ50)</f>
        <v>39.65544362881586</v>
      </c>
      <c r="CS50" s="74" t="str">
        <f>BU50</f>
        <v>All industries</v>
      </c>
      <c r="CT50" s="34">
        <f>IF(CU50&gt;0,((1+(CW50/CU50))^(1/($A$101-$A$100))-1)*100,0)</f>
        <v>2.7533233225370157</v>
      </c>
      <c r="CU50" s="75">
        <v>463.81185783630696</v>
      </c>
      <c r="CV50" s="75">
        <v>59.550337485219423</v>
      </c>
      <c r="CW50" s="75">
        <v>144.74423940542175</v>
      </c>
      <c r="CX50" s="75">
        <f>SUM(CV50:CW50)</f>
        <v>204.29457689064117</v>
      </c>
      <c r="CY50" s="75"/>
      <c r="CZ50" s="34">
        <f>IF(DA50&gt;0,((1+(DC50/DA50))^(1/($A$101-$A$100))-1)*100,0)</f>
        <v>2.7273559755584653</v>
      </c>
      <c r="DA50" s="75">
        <v>205.71744740256855</v>
      </c>
      <c r="DB50" s="75">
        <v>-30.344675713108767</v>
      </c>
      <c r="DC50" s="75">
        <v>63.517994559926827</v>
      </c>
      <c r="DD50" s="75">
        <f>SUM(DB50:DC50)</f>
        <v>33.173318846818063</v>
      </c>
      <c r="DE50" s="74"/>
      <c r="DF50" s="34">
        <f>IF(DG50&gt;0,((1+(DI50/DG50))^(1/($A$101-$A$100))-1)*100,0)</f>
        <v>2.7323553670193235</v>
      </c>
      <c r="DG50" s="75">
        <v>213.95572846563186</v>
      </c>
      <c r="DH50" s="75">
        <v>67.639447401849822</v>
      </c>
      <c r="DI50" s="75">
        <v>66.197978077989319</v>
      </c>
      <c r="DJ50" s="75">
        <f>SUM(DH50:DI50)</f>
        <v>133.83742547983914</v>
      </c>
      <c r="DK50" s="90"/>
      <c r="DL50" s="34">
        <f>IF(DM50&gt;0,((1+(DO50/DM50))^(1/($A$101-$A$100))-1)*100,0)</f>
        <v>2.9736201868302725</v>
      </c>
      <c r="DM50" s="75">
        <v>44.13868196810671</v>
      </c>
      <c r="DN50" s="75">
        <v>22.25556579647839</v>
      </c>
      <c r="DO50" s="75">
        <v>15.028266767505601</v>
      </c>
      <c r="DP50" s="75">
        <f>SUM(DN50:DO50)</f>
        <v>37.283832563983992</v>
      </c>
    </row>
    <row r="51" spans="1:120">
      <c r="B51" s="76"/>
      <c r="C51" s="76"/>
      <c r="D51" s="76"/>
      <c r="E51" s="76"/>
      <c r="F51" s="76"/>
      <c r="G51" s="76"/>
      <c r="Z51" s="76"/>
      <c r="AA51" s="76"/>
      <c r="AB51" s="76"/>
      <c r="AC51" s="76"/>
      <c r="AD51" s="76"/>
      <c r="AE51" s="76"/>
      <c r="AX51" s="76"/>
      <c r="AY51" s="76"/>
      <c r="AZ51" s="76"/>
      <c r="BA51" s="76"/>
      <c r="BB51" s="76"/>
      <c r="BC51" s="76"/>
      <c r="BV51" s="76"/>
      <c r="BW51" s="76"/>
      <c r="BX51" s="76"/>
      <c r="BY51" s="76"/>
      <c r="BZ51" s="76"/>
      <c r="CA51" s="76"/>
      <c r="CT51" s="76"/>
      <c r="CU51" s="76"/>
      <c r="CV51" s="76"/>
      <c r="CW51" s="76"/>
      <c r="CX51" s="76"/>
      <c r="CY51" s="76"/>
    </row>
    <row r="52" spans="1:120">
      <c r="A52" s="73" t="e">
        <f ca="1">CELL("filename")</f>
        <v>#VALUE!</v>
      </c>
      <c r="B52" s="76"/>
      <c r="C52" s="76"/>
      <c r="D52" s="76"/>
      <c r="E52" s="76"/>
      <c r="F52" s="76"/>
      <c r="G52" s="76"/>
      <c r="Y52" s="73" t="e">
        <f ca="1">CELL("filename")</f>
        <v>#VALUE!</v>
      </c>
      <c r="Z52" s="76"/>
      <c r="AA52" s="76"/>
      <c r="AB52" s="76"/>
      <c r="AC52" s="76"/>
      <c r="AD52" s="76"/>
      <c r="AE52" s="76"/>
      <c r="AW52" s="73" t="e">
        <f ca="1">CELL("filename")</f>
        <v>#VALUE!</v>
      </c>
      <c r="AX52" s="76"/>
      <c r="AY52" s="76"/>
      <c r="AZ52" s="76"/>
      <c r="BA52" s="76"/>
      <c r="BB52" s="76"/>
      <c r="BC52" s="76"/>
      <c r="BU52" s="73" t="e">
        <f ca="1">CELL("filename")</f>
        <v>#VALUE!</v>
      </c>
      <c r="BV52" s="76"/>
      <c r="BW52" s="76"/>
      <c r="BX52" s="76"/>
      <c r="BY52" s="76"/>
      <c r="BZ52" s="76"/>
      <c r="CA52" s="76"/>
      <c r="CS52" s="73" t="e">
        <f ca="1">CELL("filename")</f>
        <v>#VALUE!</v>
      </c>
      <c r="CT52" s="76"/>
      <c r="CU52" s="76"/>
      <c r="CV52" s="76"/>
      <c r="CW52" s="76"/>
      <c r="CX52" s="76"/>
      <c r="CY52" s="76"/>
    </row>
    <row r="53" spans="1:120" ht="15.75">
      <c r="A53" s="18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8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8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8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8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>
      <c r="A55" s="74"/>
      <c r="B55" s="74"/>
      <c r="C55" s="74"/>
      <c r="D55" s="74"/>
      <c r="E55" s="74"/>
      <c r="F55" s="74"/>
      <c r="G55" s="74"/>
      <c r="H55" s="74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98" t="str">
        <f>$X$3</f>
        <v>thousands</v>
      </c>
      <c r="Y55" s="74"/>
      <c r="Z55" s="74"/>
      <c r="AA55" s="74"/>
      <c r="AB55" s="74"/>
      <c r="AC55" s="74"/>
      <c r="AD55" s="74"/>
      <c r="AE55" s="74"/>
      <c r="AF55" s="74"/>
      <c r="AG55" s="74"/>
      <c r="AH55" s="74"/>
      <c r="AI55" s="74"/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98" t="str">
        <f>$X$3</f>
        <v>thousands</v>
      </c>
      <c r="AW55" s="74"/>
      <c r="AX55" s="74"/>
      <c r="AY55" s="74"/>
      <c r="AZ55" s="74"/>
      <c r="BA55" s="74"/>
      <c r="BB55" s="74"/>
      <c r="BC55" s="74"/>
      <c r="BD55" s="74"/>
      <c r="BE55" s="74"/>
      <c r="BF55" s="74"/>
      <c r="BG55" s="74"/>
      <c r="BH55" s="74"/>
      <c r="BI55" s="74"/>
      <c r="BJ55" s="74"/>
      <c r="BK55" s="74"/>
      <c r="BL55" s="74"/>
      <c r="BM55" s="74"/>
      <c r="BN55" s="74"/>
      <c r="BO55" s="74"/>
      <c r="BP55" s="74"/>
      <c r="BQ55" s="74"/>
      <c r="BR55" s="74"/>
      <c r="BS55" s="74"/>
      <c r="BT55" s="98" t="str">
        <f>$X$3</f>
        <v>thousands</v>
      </c>
      <c r="BU55" s="74"/>
      <c r="BV55" s="74"/>
      <c r="BW55" s="74"/>
      <c r="BX55" s="74"/>
      <c r="BY55" s="74"/>
      <c r="BZ55" s="74"/>
      <c r="CA55" s="74"/>
      <c r="CB55" s="74"/>
      <c r="CC55" s="74"/>
      <c r="CD55" s="74"/>
      <c r="CE55" s="74"/>
      <c r="CF55" s="74"/>
      <c r="CG55" s="74"/>
      <c r="CH55" s="74"/>
      <c r="CI55" s="74"/>
      <c r="CJ55" s="74"/>
      <c r="CK55" s="74"/>
      <c r="CL55" s="74"/>
      <c r="CM55" s="74"/>
      <c r="CN55" s="74"/>
      <c r="CO55" s="74"/>
      <c r="CP55" s="74"/>
      <c r="CQ55" s="74"/>
      <c r="CR55" s="98" t="str">
        <f>$X$3</f>
        <v>thousands</v>
      </c>
      <c r="CS55" s="74"/>
      <c r="CT55" s="74"/>
      <c r="CU55" s="74"/>
      <c r="CV55" s="74"/>
      <c r="CW55" s="74"/>
      <c r="CX55" s="74"/>
      <c r="CY55" s="74"/>
      <c r="CZ55" s="74"/>
      <c r="DA55" s="74"/>
      <c r="DB55" s="74"/>
      <c r="DC55" s="74"/>
      <c r="DD55" s="74"/>
      <c r="DE55" s="74"/>
      <c r="DF55" s="74"/>
      <c r="DG55" s="74"/>
      <c r="DH55" s="74"/>
      <c r="DI55" s="74"/>
      <c r="DJ55" s="74"/>
      <c r="DK55" s="74"/>
      <c r="DL55" s="74"/>
      <c r="DM55" s="74"/>
      <c r="DN55" s="74"/>
      <c r="DO55" s="74"/>
      <c r="DP55" s="98" t="str">
        <f>$X$3</f>
        <v>thousands</v>
      </c>
    </row>
    <row r="56" spans="1:120">
      <c r="B56" s="354" t="str">
        <f>B4</f>
        <v>All qualifications</v>
      </c>
      <c r="C56" s="354"/>
      <c r="D56" s="354"/>
      <c r="E56" s="354"/>
      <c r="F56" s="354"/>
      <c r="G56" s="96"/>
      <c r="H56" s="354" t="str">
        <f>H4</f>
        <v>RQF8 Doctorate</v>
      </c>
      <c r="I56" s="354"/>
      <c r="J56" s="354"/>
      <c r="K56" s="354"/>
      <c r="L56" s="354"/>
      <c r="M56" s="96"/>
      <c r="N56" s="355" t="str">
        <f>N4</f>
        <v>RQF7 Other higher degree</v>
      </c>
      <c r="O56" s="355"/>
      <c r="P56" s="355"/>
      <c r="Q56" s="355"/>
      <c r="R56" s="355"/>
      <c r="S56" s="93"/>
      <c r="T56" s="355" t="str">
        <f>T4</f>
        <v>RQF6 First degree</v>
      </c>
      <c r="U56" s="355"/>
      <c r="V56" s="355"/>
      <c r="W56" s="355"/>
      <c r="X56" s="355"/>
      <c r="Z56" s="354" t="str">
        <f>Z4</f>
        <v>All qualifications</v>
      </c>
      <c r="AA56" s="354"/>
      <c r="AB56" s="354"/>
      <c r="AC56" s="354"/>
      <c r="AD56" s="354"/>
      <c r="AE56" s="96"/>
      <c r="AF56" s="354" t="str">
        <f>AF4</f>
        <v>RQF8 Doctorate</v>
      </c>
      <c r="AG56" s="354"/>
      <c r="AH56" s="354"/>
      <c r="AI56" s="354"/>
      <c r="AJ56" s="354"/>
      <c r="AK56" s="96"/>
      <c r="AL56" s="355" t="str">
        <f>AL4</f>
        <v>RQF7 Other higher degree</v>
      </c>
      <c r="AM56" s="355"/>
      <c r="AN56" s="355"/>
      <c r="AO56" s="355"/>
      <c r="AP56" s="355"/>
      <c r="AQ56" s="93"/>
      <c r="AR56" s="355" t="str">
        <f>AR4</f>
        <v>RQF6 First degree</v>
      </c>
      <c r="AS56" s="355"/>
      <c r="AT56" s="355"/>
      <c r="AU56" s="355"/>
      <c r="AV56" s="355"/>
      <c r="AX56" s="354" t="str">
        <f>AX4</f>
        <v>All qualifications</v>
      </c>
      <c r="AY56" s="354"/>
      <c r="AZ56" s="354"/>
      <c r="BA56" s="354"/>
      <c r="BB56" s="354"/>
      <c r="BC56" s="96"/>
      <c r="BD56" s="354" t="str">
        <f>BD4</f>
        <v>RQF8 Doctorate</v>
      </c>
      <c r="BE56" s="354"/>
      <c r="BF56" s="354"/>
      <c r="BG56" s="354"/>
      <c r="BH56" s="354"/>
      <c r="BI56" s="96"/>
      <c r="BJ56" s="355" t="str">
        <f>BJ4</f>
        <v>RQF7 Other higher degree</v>
      </c>
      <c r="BK56" s="355"/>
      <c r="BL56" s="355"/>
      <c r="BM56" s="355"/>
      <c r="BN56" s="355"/>
      <c r="BO56" s="93"/>
      <c r="BP56" s="355" t="str">
        <f>BP4</f>
        <v>RQF6 First degree</v>
      </c>
      <c r="BQ56" s="355"/>
      <c r="BR56" s="355"/>
      <c r="BS56" s="355"/>
      <c r="BT56" s="355"/>
      <c r="BV56" s="354" t="str">
        <f>BV4</f>
        <v>All qualifications</v>
      </c>
      <c r="BW56" s="354"/>
      <c r="BX56" s="354"/>
      <c r="BY56" s="354"/>
      <c r="BZ56" s="354"/>
      <c r="CA56" s="96"/>
      <c r="CB56" s="354" t="str">
        <f>CB4</f>
        <v>RQF8 Doctorate</v>
      </c>
      <c r="CC56" s="354"/>
      <c r="CD56" s="354"/>
      <c r="CE56" s="354"/>
      <c r="CF56" s="354"/>
      <c r="CG56" s="96"/>
      <c r="CH56" s="355" t="str">
        <f>CH4</f>
        <v>RQF7 Other higher degree</v>
      </c>
      <c r="CI56" s="355"/>
      <c r="CJ56" s="355"/>
      <c r="CK56" s="355"/>
      <c r="CL56" s="355"/>
      <c r="CM56" s="93"/>
      <c r="CN56" s="355" t="str">
        <f>CN4</f>
        <v>RQF6 First degree</v>
      </c>
      <c r="CO56" s="355"/>
      <c r="CP56" s="355"/>
      <c r="CQ56" s="355"/>
      <c r="CR56" s="355"/>
      <c r="CT56" s="354" t="str">
        <f>CT4</f>
        <v>All qualifications</v>
      </c>
      <c r="CU56" s="354"/>
      <c r="CV56" s="354"/>
      <c r="CW56" s="354"/>
      <c r="CX56" s="354"/>
      <c r="CY56" s="96"/>
      <c r="CZ56" s="354" t="str">
        <f>CZ4</f>
        <v>RQF8 Doctorate</v>
      </c>
      <c r="DA56" s="354"/>
      <c r="DB56" s="354"/>
      <c r="DC56" s="354"/>
      <c r="DD56" s="354"/>
      <c r="DE56" s="96"/>
      <c r="DF56" s="355" t="str">
        <f>DF4</f>
        <v>RQF7 Other higher degree</v>
      </c>
      <c r="DG56" s="355"/>
      <c r="DH56" s="355"/>
      <c r="DI56" s="355"/>
      <c r="DJ56" s="355"/>
      <c r="DK56" s="93"/>
      <c r="DL56" s="355" t="str">
        <f>DL4</f>
        <v>RQF6 First degree</v>
      </c>
      <c r="DM56" s="355"/>
      <c r="DN56" s="355"/>
      <c r="DO56" s="355"/>
      <c r="DP56" s="355"/>
    </row>
    <row r="58" spans="1:120" ht="38.25">
      <c r="A58" s="95"/>
      <c r="B58" s="92" t="str">
        <f>B6</f>
        <v>RD p.a%</v>
      </c>
      <c r="C58" s="92" t="str">
        <f>C6</f>
        <v>2015 Level</v>
      </c>
      <c r="D58" s="92" t="str">
        <f>D6</f>
        <v>Net Change</v>
      </c>
      <c r="E58" s="92" t="str">
        <f>E6</f>
        <v>Replace-ment Demand</v>
      </c>
      <c r="F58" s="92" t="str">
        <f>F6</f>
        <v>Total Require-ment</v>
      </c>
      <c r="G58" s="91"/>
      <c r="H58" s="87" t="str">
        <f>B58</f>
        <v>RD p.a%</v>
      </c>
      <c r="I58" s="87" t="str">
        <f>C58</f>
        <v>2015 Level</v>
      </c>
      <c r="J58" s="87" t="str">
        <f>D58</f>
        <v>Net Change</v>
      </c>
      <c r="K58" s="87" t="str">
        <f>E58</f>
        <v>Replace-ment Demand</v>
      </c>
      <c r="L58" s="87" t="str">
        <f>F58</f>
        <v>Total Require-ment</v>
      </c>
      <c r="M58" s="86"/>
      <c r="N58" s="88" t="str">
        <f>H58</f>
        <v>RD p.a%</v>
      </c>
      <c r="O58" s="88" t="str">
        <f>I58</f>
        <v>2015 Level</v>
      </c>
      <c r="P58" s="88" t="str">
        <f>J58</f>
        <v>Net Change</v>
      </c>
      <c r="Q58" s="88" t="str">
        <f>K58</f>
        <v>Replace-ment Demand</v>
      </c>
      <c r="R58" s="88" t="str">
        <f>L58</f>
        <v>Total Require-ment</v>
      </c>
      <c r="S58" s="86"/>
      <c r="T58" s="88" t="str">
        <f>N58</f>
        <v>RD p.a%</v>
      </c>
      <c r="U58" s="88" t="str">
        <f>O58</f>
        <v>2015 Level</v>
      </c>
      <c r="V58" s="88" t="str">
        <f>P58</f>
        <v>Net Change</v>
      </c>
      <c r="W58" s="88" t="str">
        <f>Q58</f>
        <v>Replace-ment Demand</v>
      </c>
      <c r="X58" s="88" t="str">
        <f>R58</f>
        <v>Total Require-ment</v>
      </c>
      <c r="Y58" s="95"/>
      <c r="Z58" s="92" t="str">
        <f>Z6</f>
        <v>RD p.a%</v>
      </c>
      <c r="AA58" s="92" t="str">
        <f>AA6</f>
        <v>2015 Level</v>
      </c>
      <c r="AB58" s="92" t="str">
        <f>AB6</f>
        <v>Net Change</v>
      </c>
      <c r="AC58" s="92" t="str">
        <f>AC6</f>
        <v>Replace-ment Demand</v>
      </c>
      <c r="AD58" s="92" t="str">
        <f>AD6</f>
        <v>Total Require-ment</v>
      </c>
      <c r="AE58" s="91"/>
      <c r="AF58" s="87" t="str">
        <f>Z58</f>
        <v>RD p.a%</v>
      </c>
      <c r="AG58" s="87" t="str">
        <f>AA58</f>
        <v>2015 Level</v>
      </c>
      <c r="AH58" s="87" t="str">
        <f>AB58</f>
        <v>Net Change</v>
      </c>
      <c r="AI58" s="87" t="str">
        <f>AC58</f>
        <v>Replace-ment Demand</v>
      </c>
      <c r="AJ58" s="87" t="str">
        <f>AD58</f>
        <v>Total Require-ment</v>
      </c>
      <c r="AK58" s="86"/>
      <c r="AL58" s="88" t="str">
        <f>AF58</f>
        <v>RD p.a%</v>
      </c>
      <c r="AM58" s="88" t="str">
        <f>AG58</f>
        <v>2015 Level</v>
      </c>
      <c r="AN58" s="88" t="str">
        <f>AH58</f>
        <v>Net Change</v>
      </c>
      <c r="AO58" s="88" t="str">
        <f>AI58</f>
        <v>Replace-ment Demand</v>
      </c>
      <c r="AP58" s="88" t="str">
        <f>AJ58</f>
        <v>Total Require-ment</v>
      </c>
      <c r="AQ58" s="86"/>
      <c r="AR58" s="88" t="str">
        <f>AL58</f>
        <v>RD p.a%</v>
      </c>
      <c r="AS58" s="88" t="str">
        <f>AM58</f>
        <v>2015 Level</v>
      </c>
      <c r="AT58" s="88" t="str">
        <f>AN58</f>
        <v>Net Change</v>
      </c>
      <c r="AU58" s="88" t="str">
        <f>AO58</f>
        <v>Replace-ment Demand</v>
      </c>
      <c r="AV58" s="88" t="str">
        <f>AP58</f>
        <v>Total Require-ment</v>
      </c>
      <c r="AW58" s="95"/>
      <c r="AX58" s="92" t="str">
        <f>AX6</f>
        <v>RD p.a%</v>
      </c>
      <c r="AY58" s="92" t="str">
        <f>AY6</f>
        <v>2015 Level</v>
      </c>
      <c r="AZ58" s="92" t="str">
        <f>AZ6</f>
        <v>Net Change</v>
      </c>
      <c r="BA58" s="92" t="str">
        <f>BA6</f>
        <v>Replace-ment Demand</v>
      </c>
      <c r="BB58" s="92" t="str">
        <f>BB6</f>
        <v>Total Require-ment</v>
      </c>
      <c r="BC58" s="91"/>
      <c r="BD58" s="87" t="str">
        <f>AX58</f>
        <v>RD p.a%</v>
      </c>
      <c r="BE58" s="87" t="str">
        <f>AY58</f>
        <v>2015 Level</v>
      </c>
      <c r="BF58" s="87" t="str">
        <f>AZ58</f>
        <v>Net Change</v>
      </c>
      <c r="BG58" s="87" t="str">
        <f>BA58</f>
        <v>Replace-ment Demand</v>
      </c>
      <c r="BH58" s="87" t="str">
        <f>BB58</f>
        <v>Total Require-ment</v>
      </c>
      <c r="BI58" s="86"/>
      <c r="BJ58" s="88" t="str">
        <f>BD58</f>
        <v>RD p.a%</v>
      </c>
      <c r="BK58" s="88" t="str">
        <f>BE58</f>
        <v>2015 Level</v>
      </c>
      <c r="BL58" s="88" t="str">
        <f>BF58</f>
        <v>Net Change</v>
      </c>
      <c r="BM58" s="88" t="str">
        <f>BG58</f>
        <v>Replace-ment Demand</v>
      </c>
      <c r="BN58" s="88" t="str">
        <f>BH58</f>
        <v>Total Require-ment</v>
      </c>
      <c r="BO58" s="86"/>
      <c r="BP58" s="88" t="str">
        <f>BJ58</f>
        <v>RD p.a%</v>
      </c>
      <c r="BQ58" s="88" t="str">
        <f>BK58</f>
        <v>2015 Level</v>
      </c>
      <c r="BR58" s="88" t="str">
        <f>BL58</f>
        <v>Net Change</v>
      </c>
      <c r="BS58" s="88" t="str">
        <f>BM58</f>
        <v>Replace-ment Demand</v>
      </c>
      <c r="BT58" s="88" t="str">
        <f>BN58</f>
        <v>Total Require-ment</v>
      </c>
      <c r="BU58" s="95"/>
      <c r="BV58" s="92" t="str">
        <f>BV6</f>
        <v>RD p.a%</v>
      </c>
      <c r="BW58" s="92" t="str">
        <f>BW6</f>
        <v>2015 Level</v>
      </c>
      <c r="BX58" s="92" t="str">
        <f>BX6</f>
        <v>Net Change</v>
      </c>
      <c r="BY58" s="92" t="str">
        <f>BY6</f>
        <v>Replace-ment Demand</v>
      </c>
      <c r="BZ58" s="92" t="str">
        <f>BZ6</f>
        <v>Total Require-ment</v>
      </c>
      <c r="CA58" s="91"/>
      <c r="CB58" s="87" t="str">
        <f>BV58</f>
        <v>RD p.a%</v>
      </c>
      <c r="CC58" s="87" t="str">
        <f>BW58</f>
        <v>2015 Level</v>
      </c>
      <c r="CD58" s="87" t="str">
        <f>BX58</f>
        <v>Net Change</v>
      </c>
      <c r="CE58" s="87" t="str">
        <f>BY58</f>
        <v>Replace-ment Demand</v>
      </c>
      <c r="CF58" s="87" t="str">
        <f>BZ58</f>
        <v>Total Require-ment</v>
      </c>
      <c r="CG58" s="86"/>
      <c r="CH58" s="88" t="str">
        <f>CB58</f>
        <v>RD p.a%</v>
      </c>
      <c r="CI58" s="88" t="str">
        <f>CC58</f>
        <v>2015 Level</v>
      </c>
      <c r="CJ58" s="88" t="str">
        <f>CD58</f>
        <v>Net Change</v>
      </c>
      <c r="CK58" s="88" t="str">
        <f>CE58</f>
        <v>Replace-ment Demand</v>
      </c>
      <c r="CL58" s="88" t="str">
        <f>CF58</f>
        <v>Total Require-ment</v>
      </c>
      <c r="CM58" s="86"/>
      <c r="CN58" s="88" t="str">
        <f>CH58</f>
        <v>RD p.a%</v>
      </c>
      <c r="CO58" s="88" t="str">
        <f>CI58</f>
        <v>2015 Level</v>
      </c>
      <c r="CP58" s="88" t="str">
        <f>CJ58</f>
        <v>Net Change</v>
      </c>
      <c r="CQ58" s="88" t="str">
        <f>CK58</f>
        <v>Replace-ment Demand</v>
      </c>
      <c r="CR58" s="88" t="str">
        <f>CL58</f>
        <v>Total Require-ment</v>
      </c>
      <c r="CS58" s="95"/>
      <c r="CT58" s="92" t="str">
        <f>CT6</f>
        <v>RD p.a%</v>
      </c>
      <c r="CU58" s="92" t="str">
        <f>CU6</f>
        <v>2015 Level</v>
      </c>
      <c r="CV58" s="92" t="str">
        <f>CV6</f>
        <v>Net Change</v>
      </c>
      <c r="CW58" s="92" t="str">
        <f>CW6</f>
        <v>Replace-ment Demand</v>
      </c>
      <c r="CX58" s="92" t="str">
        <f>CX6</f>
        <v>Total Require-ment</v>
      </c>
      <c r="CY58" s="91"/>
      <c r="CZ58" s="87" t="str">
        <f>CT58</f>
        <v>RD p.a%</v>
      </c>
      <c r="DA58" s="87" t="str">
        <f>CU58</f>
        <v>2015 Level</v>
      </c>
      <c r="DB58" s="87" t="str">
        <f>CV58</f>
        <v>Net Change</v>
      </c>
      <c r="DC58" s="87" t="str">
        <f>CW58</f>
        <v>Replace-ment Demand</v>
      </c>
      <c r="DD58" s="87" t="str">
        <f>CX58</f>
        <v>Total Require-ment</v>
      </c>
      <c r="DE58" s="86"/>
      <c r="DF58" s="88" t="str">
        <f>CZ58</f>
        <v>RD p.a%</v>
      </c>
      <c r="DG58" s="88" t="str">
        <f>DA58</f>
        <v>2015 Level</v>
      </c>
      <c r="DH58" s="88" t="str">
        <f>DB58</f>
        <v>Net Change</v>
      </c>
      <c r="DI58" s="88" t="str">
        <f>DC58</f>
        <v>Replace-ment Demand</v>
      </c>
      <c r="DJ58" s="88" t="str">
        <f>DD58</f>
        <v>Total Require-ment</v>
      </c>
      <c r="DK58" s="86"/>
      <c r="DL58" s="88" t="str">
        <f>DF58</f>
        <v>RD p.a%</v>
      </c>
      <c r="DM58" s="88" t="str">
        <f>DG58</f>
        <v>2015 Level</v>
      </c>
      <c r="DN58" s="88" t="str">
        <f>DH58</f>
        <v>Net Change</v>
      </c>
      <c r="DO58" s="88" t="str">
        <f>DI58</f>
        <v>Replace-ment Demand</v>
      </c>
      <c r="DP58" s="88" t="str">
        <f>DJ58</f>
        <v>Total Require-ment</v>
      </c>
    </row>
    <row r="60" spans="1:120">
      <c r="A60" s="73" t="e">
        <f>name!#REF!</f>
        <v>#REF!</v>
      </c>
      <c r="B60" s="31" t="e">
        <f t="shared" ref="B60:B77" si="44">IF(C60&gt;0,((1+(E60/C60))^(1/($A$101-$A$100))-1)*100,0)</f>
        <v>#VALUE!</v>
      </c>
      <c r="C60" s="76" t="e">
        <f t="array" ref="C60:C75">MMULT(aggregation!$B$3:$W$8,C8:C48)</f>
        <v>#VALUE!</v>
      </c>
      <c r="D60" s="76" t="e">
        <f t="array" ref="D60:D75">MMULT(aggregation!$B$3:$W$8,D8:D48)</f>
        <v>#VALUE!</v>
      </c>
      <c r="E60" s="76" t="e">
        <f t="array" ref="E60:E75">MMULT(aggregation!$B$3:$W$8,E8:E48)</f>
        <v>#VALUE!</v>
      </c>
      <c r="F60" s="76" t="e">
        <f t="array" ref="F60:F75">MMULT(aggregation!$B$3:$W$8,F8:F48)</f>
        <v>#VALUE!</v>
      </c>
      <c r="H60" s="31" t="e">
        <f t="shared" ref="H60:H77" si="45">IF(I60&gt;0,((1+(K60/I60))^(1/($A$101-$A$100))-1)*100,0)</f>
        <v>#VALUE!</v>
      </c>
      <c r="I60" s="76" t="e">
        <f t="array" ref="I60:I75">MMULT(aggregation!$B$3:$W$8,I8:I48)</f>
        <v>#VALUE!</v>
      </c>
      <c r="J60" s="76" t="e">
        <f t="array" ref="J60:J75">MMULT(aggregation!$B$3:$W$8,J8:J48)</f>
        <v>#VALUE!</v>
      </c>
      <c r="K60" s="76" t="e">
        <f t="array" ref="K60:K75">MMULT(aggregation!$B$3:$W$8,K8:K48)</f>
        <v>#VALUE!</v>
      </c>
      <c r="L60" s="76" t="e">
        <f t="array" ref="L60:L75">MMULT(aggregation!$B$3:$W$8,L8:L48)</f>
        <v>#VALUE!</v>
      </c>
      <c r="N60" s="31" t="e">
        <f t="shared" ref="N60:N77" si="46">IF(O60&gt;0,((1+(Q60/O60))^(1/($A$101-$A$100))-1)*100,0)</f>
        <v>#VALUE!</v>
      </c>
      <c r="O60" s="76" t="e">
        <f t="array" ref="O60:O75">MMULT(aggregation!$B$3:$W$8,O8:O48)</f>
        <v>#VALUE!</v>
      </c>
      <c r="P60" s="76" t="e">
        <f t="array" ref="P60:P75">MMULT(aggregation!$B$3:$W$8,P8:P48)</f>
        <v>#VALUE!</v>
      </c>
      <c r="Q60" s="76" t="e">
        <f t="array" ref="Q60:Q75">MMULT(aggregation!$B$3:$W$8,Q8:Q48)</f>
        <v>#VALUE!</v>
      </c>
      <c r="R60" s="76" t="e">
        <f t="array" ref="R60:R75">MMULT(aggregation!$B$3:$W$8,R8:R48)</f>
        <v>#VALUE!</v>
      </c>
      <c r="S60" s="76"/>
      <c r="T60" s="31" t="e">
        <f t="shared" ref="T60:T77" si="47">IF(U60&gt;0,((1+(W60/U60))^(1/($A$101-$A$100))-1)*100,0)</f>
        <v>#VALUE!</v>
      </c>
      <c r="U60" s="76" t="e">
        <f t="array" ref="U60:U75">MMULT(aggregation!$B$3:$W$8,U8:U48)</f>
        <v>#VALUE!</v>
      </c>
      <c r="V60" s="76" t="e">
        <f t="array" ref="V60:V75">MMULT(aggregation!$B$3:$W$8,V8:V48)</f>
        <v>#VALUE!</v>
      </c>
      <c r="W60" s="76" t="e">
        <f t="array" ref="W60:W75">MMULT(aggregation!$B$3:$W$8,W8:W48)</f>
        <v>#VALUE!</v>
      </c>
      <c r="X60" s="76" t="e">
        <f t="array" ref="X60:X75">MMULT(aggregation!$B$3:$W$8,X8:X48)</f>
        <v>#VALUE!</v>
      </c>
      <c r="Y60" s="73" t="e">
        <f>A60</f>
        <v>#REF!</v>
      </c>
      <c r="Z60" s="31" t="e">
        <f t="shared" ref="Z60:Z75" si="48">IF(AA60&gt;0,((1+(AC60/AA60))^(1/($A$101-$A$100))-1)*100,0)</f>
        <v>#VALUE!</v>
      </c>
      <c r="AA60" s="76" t="e">
        <f t="array" ref="AA60:AA75">MMULT(aggregation!$B$3:$W$8,AA8:AA48)</f>
        <v>#VALUE!</v>
      </c>
      <c r="AB60" s="76" t="e">
        <f t="array" ref="AB60:AB75">MMULT(aggregation!$B$3:$W$8,AB8:AB48)</f>
        <v>#VALUE!</v>
      </c>
      <c r="AC60" s="76" t="e">
        <f t="array" ref="AC60:AC75">MMULT(aggregation!$B$3:$W$8,AC8:AC48)</f>
        <v>#VALUE!</v>
      </c>
      <c r="AD60" s="76" t="e">
        <f t="array" ref="AD60:AD75">MMULT(aggregation!$B$3:$W$8,AD8:AD48)</f>
        <v>#VALUE!</v>
      </c>
      <c r="AF60" s="31" t="e">
        <f t="shared" ref="AF60:AF75" si="49">IF(AG60&gt;0,((1+(AI60/AG60))^(1/($A$101-$A$100))-1)*100,0)</f>
        <v>#VALUE!</v>
      </c>
      <c r="AG60" s="76" t="e">
        <f t="array" ref="AG60:AG75">MMULT(aggregation!$B$3:$W$8,AG8:AG48)</f>
        <v>#VALUE!</v>
      </c>
      <c r="AH60" s="76" t="e">
        <f t="array" ref="AH60:AH75">MMULT(aggregation!$B$3:$W$8,AH8:AH48)</f>
        <v>#VALUE!</v>
      </c>
      <c r="AI60" s="76" t="e">
        <f t="array" ref="AI60:AI75">MMULT(aggregation!$B$3:$W$8,AI8:AI48)</f>
        <v>#VALUE!</v>
      </c>
      <c r="AJ60" s="76" t="e">
        <f t="array" ref="AJ60:AJ75">MMULT(aggregation!$B$3:$W$8,AJ8:AJ48)</f>
        <v>#VALUE!</v>
      </c>
      <c r="AL60" s="31" t="e">
        <f t="shared" ref="AL60:AL75" si="50">IF(AM60&gt;0,((1+(AO60/AM60))^(1/($A$101-$A$100))-1)*100,0)</f>
        <v>#VALUE!</v>
      </c>
      <c r="AM60" s="76" t="e">
        <f t="array" ref="AM60:AM75">MMULT(aggregation!$B$3:$W$8,AM8:AM48)</f>
        <v>#VALUE!</v>
      </c>
      <c r="AN60" s="76" t="e">
        <f t="array" ref="AN60:AN75">MMULT(aggregation!$B$3:$W$8,AN8:AN48)</f>
        <v>#VALUE!</v>
      </c>
      <c r="AO60" s="76" t="e">
        <f t="array" ref="AO60:AO75">MMULT(aggregation!$B$3:$W$8,AO8:AO48)</f>
        <v>#VALUE!</v>
      </c>
      <c r="AP60" s="76" t="e">
        <f t="array" ref="AP60:AP75">MMULT(aggregation!$B$3:$W$8,AP8:AP48)</f>
        <v>#VALUE!</v>
      </c>
      <c r="AQ60" s="76"/>
      <c r="AR60" s="31" t="e">
        <f t="shared" ref="AR60:AR75" si="51">IF(AS60&gt;0,((1+(AU60/AS60))^(1/($A$101-$A$100))-1)*100,0)</f>
        <v>#VALUE!</v>
      </c>
      <c r="AS60" s="76" t="e">
        <f t="array" ref="AS60:AS75">MMULT(aggregation!$B$3:$W$8,AS8:AS48)</f>
        <v>#VALUE!</v>
      </c>
      <c r="AT60" s="76" t="e">
        <f t="array" ref="AT60:AT75">MMULT(aggregation!$B$3:$W$8,AT8:AT48)</f>
        <v>#VALUE!</v>
      </c>
      <c r="AU60" s="76" t="e">
        <f t="array" ref="AU60:AU75">MMULT(aggregation!$B$3:$W$8,AU8:AU48)</f>
        <v>#VALUE!</v>
      </c>
      <c r="AV60" s="76" t="e">
        <f t="array" ref="AV60:AV75">MMULT(aggregation!$B$3:$W$8,AV8:AV48)</f>
        <v>#VALUE!</v>
      </c>
      <c r="AW60" s="73" t="e">
        <f>Y60</f>
        <v>#REF!</v>
      </c>
      <c r="AX60" s="31" t="e">
        <f t="shared" ref="AX60:AX75" si="52">IF(AY60&gt;0,((1+(BA60/AY60))^(1/($A$101-$A$100))-1)*100,0)</f>
        <v>#VALUE!</v>
      </c>
      <c r="AY60" s="76" t="e">
        <f t="array" ref="AY60:AY75">MMULT(aggregation!$B$3:$W$8,AY8:AY48)</f>
        <v>#VALUE!</v>
      </c>
      <c r="AZ60" s="76" t="e">
        <f t="array" ref="AZ60:AZ75">MMULT(aggregation!$B$3:$W$8,AZ8:AZ48)</f>
        <v>#VALUE!</v>
      </c>
      <c r="BA60" s="76" t="e">
        <f t="array" ref="BA60:BA75">MMULT(aggregation!$B$3:$W$8,BA8:BA48)</f>
        <v>#VALUE!</v>
      </c>
      <c r="BB60" s="76" t="e">
        <f t="array" ref="BB60:BB75">MMULT(aggregation!$B$3:$W$8,BB8:BB48)</f>
        <v>#VALUE!</v>
      </c>
      <c r="BD60" s="31" t="e">
        <f t="shared" ref="BD60:BD75" si="53">IF(BE60&gt;0,((1+(BG60/BE60))^(1/($A$101-$A$100))-1)*100,0)</f>
        <v>#VALUE!</v>
      </c>
      <c r="BE60" s="76" t="e">
        <f t="array" ref="BE60:BE75">MMULT(aggregation!$B$3:$W$8,BE8:BE48)</f>
        <v>#VALUE!</v>
      </c>
      <c r="BF60" s="76" t="e">
        <f t="array" ref="BF60:BF75">MMULT(aggregation!$B$3:$W$8,BF8:BF48)</f>
        <v>#VALUE!</v>
      </c>
      <c r="BG60" s="76" t="e">
        <f t="array" ref="BG60:BG75">MMULT(aggregation!$B$3:$W$8,BG8:BG48)</f>
        <v>#VALUE!</v>
      </c>
      <c r="BH60" s="76" t="e">
        <f t="array" ref="BH60:BH75">MMULT(aggregation!$B$3:$W$8,BH8:BH48)</f>
        <v>#VALUE!</v>
      </c>
      <c r="BJ60" s="31" t="e">
        <f t="shared" ref="BJ60:BJ75" si="54">IF(BK60&gt;0,((1+(BM60/BK60))^(1/($A$101-$A$100))-1)*100,0)</f>
        <v>#VALUE!</v>
      </c>
      <c r="BK60" s="76" t="e">
        <f t="array" ref="BK60:BK75">MMULT(aggregation!$B$3:$W$8,BK8:BK48)</f>
        <v>#VALUE!</v>
      </c>
      <c r="BL60" s="76" t="e">
        <f t="array" ref="BL60:BL75">MMULT(aggregation!$B$3:$W$8,BL8:BL48)</f>
        <v>#VALUE!</v>
      </c>
      <c r="BM60" s="76" t="e">
        <f t="array" ref="BM60:BM75">MMULT(aggregation!$B$3:$W$8,BM8:BM48)</f>
        <v>#VALUE!</v>
      </c>
      <c r="BN60" s="76" t="e">
        <f t="array" ref="BN60:BN75">MMULT(aggregation!$B$3:$W$8,BN8:BN48)</f>
        <v>#VALUE!</v>
      </c>
      <c r="BO60" s="76"/>
      <c r="BP60" s="31" t="e">
        <f t="shared" ref="BP60:BP75" si="55">IF(BQ60&gt;0,((1+(BS60/BQ60))^(1/($A$101-$A$100))-1)*100,0)</f>
        <v>#VALUE!</v>
      </c>
      <c r="BQ60" s="76" t="e">
        <f t="array" ref="BQ60:BQ75">MMULT(aggregation!$B$3:$W$8,BQ8:BQ48)</f>
        <v>#VALUE!</v>
      </c>
      <c r="BR60" s="76" t="e">
        <f t="array" ref="BR60:BR75">MMULT(aggregation!$B$3:$W$8,BR8:BR48)</f>
        <v>#VALUE!</v>
      </c>
      <c r="BS60" s="76" t="e">
        <f t="array" ref="BS60:BS75">MMULT(aggregation!$B$3:$W$8,BS8:BS48)</f>
        <v>#VALUE!</v>
      </c>
      <c r="BT60" s="76" t="e">
        <f t="array" ref="BT60:BT75">MMULT(aggregation!$B$3:$W$8,BT8:BT48)</f>
        <v>#VALUE!</v>
      </c>
      <c r="BU60" s="73" t="e">
        <f>AW60</f>
        <v>#REF!</v>
      </c>
      <c r="BV60" s="31" t="e">
        <f t="shared" ref="BV60:BV75" si="56">IF(BW60&gt;0,((1+(BY60/BW60))^(1/($A$101-$A$100))-1)*100,0)</f>
        <v>#VALUE!</v>
      </c>
      <c r="BW60" s="76" t="e">
        <f t="array" ref="BW60:BW75">MMULT(aggregation!$B$3:$W$8,BW8:BW48)</f>
        <v>#VALUE!</v>
      </c>
      <c r="BX60" s="76" t="e">
        <f t="array" ref="BX60:BX75">MMULT(aggregation!$B$3:$W$8,BX8:BX48)</f>
        <v>#VALUE!</v>
      </c>
      <c r="BY60" s="76" t="e">
        <f t="array" ref="BY60:BY75">MMULT(aggregation!$B$3:$W$8,BY8:BY48)</f>
        <v>#VALUE!</v>
      </c>
      <c r="BZ60" s="76" t="e">
        <f t="array" ref="BZ60:BZ75">MMULT(aggregation!$B$3:$W$8,BZ8:BZ48)</f>
        <v>#VALUE!</v>
      </c>
      <c r="CB60" s="31" t="e">
        <f t="shared" ref="CB60:CB75" si="57">IF(CC60&gt;0,((1+(CE60/CC60))^(1/($A$101-$A$100))-1)*100,0)</f>
        <v>#VALUE!</v>
      </c>
      <c r="CC60" s="76" t="e">
        <f t="array" ref="CC60:CC75">MMULT(aggregation!$B$3:$W$8,CC8:CC48)</f>
        <v>#VALUE!</v>
      </c>
      <c r="CD60" s="76" t="e">
        <f t="array" ref="CD60:CD75">MMULT(aggregation!$B$3:$W$8,CD8:CD48)</f>
        <v>#VALUE!</v>
      </c>
      <c r="CE60" s="76" t="e">
        <f t="array" ref="CE60:CE75">MMULT(aggregation!$B$3:$W$8,CE8:CE48)</f>
        <v>#VALUE!</v>
      </c>
      <c r="CF60" s="76" t="e">
        <f t="array" ref="CF60:CF75">MMULT(aggregation!$B$3:$W$8,CF8:CF48)</f>
        <v>#VALUE!</v>
      </c>
      <c r="CH60" s="31" t="e">
        <f t="shared" ref="CH60:CH75" si="58">IF(CI60&gt;0,((1+(CK60/CI60))^(1/($A$101-$A$100))-1)*100,0)</f>
        <v>#VALUE!</v>
      </c>
      <c r="CI60" s="76" t="e">
        <f t="array" ref="CI60:CI75">MMULT(aggregation!$B$3:$W$8,CI8:CI48)</f>
        <v>#VALUE!</v>
      </c>
      <c r="CJ60" s="76" t="e">
        <f t="array" ref="CJ60:CJ75">MMULT(aggregation!$B$3:$W$8,CJ8:CJ48)</f>
        <v>#VALUE!</v>
      </c>
      <c r="CK60" s="76" t="e">
        <f t="array" ref="CK60:CK75">MMULT(aggregation!$B$3:$W$8,CK8:CK48)</f>
        <v>#VALUE!</v>
      </c>
      <c r="CL60" s="76" t="e">
        <f t="array" ref="CL60:CL75">MMULT(aggregation!$B$3:$W$8,CL8:CL48)</f>
        <v>#VALUE!</v>
      </c>
      <c r="CM60" s="76"/>
      <c r="CN60" s="31" t="e">
        <f t="shared" ref="CN60:CN75" si="59">IF(CO60&gt;0,((1+(CQ60/CO60))^(1/($A$101-$A$100))-1)*100,0)</f>
        <v>#VALUE!</v>
      </c>
      <c r="CO60" s="76" t="e">
        <f t="array" ref="CO60:CO75">MMULT(aggregation!$B$3:$W$8,CO8:CO48)</f>
        <v>#VALUE!</v>
      </c>
      <c r="CP60" s="76" t="e">
        <f t="array" ref="CP60:CP75">MMULT(aggregation!$B$3:$W$8,CP8:CP48)</f>
        <v>#VALUE!</v>
      </c>
      <c r="CQ60" s="76" t="e">
        <f t="array" ref="CQ60:CQ75">MMULT(aggregation!$B$3:$W$8,CQ8:CQ48)</f>
        <v>#VALUE!</v>
      </c>
      <c r="CR60" s="76" t="e">
        <f t="array" ref="CR60:CR75">MMULT(aggregation!$B$3:$W$8,CR8:CR48)</f>
        <v>#VALUE!</v>
      </c>
      <c r="CS60" s="73" t="e">
        <f>BU60</f>
        <v>#REF!</v>
      </c>
      <c r="CT60" s="31" t="e">
        <f t="shared" ref="CT60:CT75" si="60">IF(CU60&gt;0,((1+(CW60/CU60))^(1/($A$101-$A$100))-1)*100,0)</f>
        <v>#VALUE!</v>
      </c>
      <c r="CU60" s="76" t="e">
        <f t="array" ref="CU60:CU75">MMULT(aggregation!$B$3:$W$8,CU8:CU48)</f>
        <v>#VALUE!</v>
      </c>
      <c r="CV60" s="76" t="e">
        <f t="array" ref="CV60:CV75">MMULT(aggregation!$B$3:$W$8,CV8:CV48)</f>
        <v>#VALUE!</v>
      </c>
      <c r="CW60" s="76" t="e">
        <f t="array" ref="CW60:CW75">MMULT(aggregation!$B$3:$W$8,CW8:CW48)</f>
        <v>#VALUE!</v>
      </c>
      <c r="CX60" s="76" t="e">
        <f t="array" ref="CX60:CX75">MMULT(aggregation!$B$3:$W$8,CX8:CX48)</f>
        <v>#VALUE!</v>
      </c>
      <c r="CZ60" s="31" t="e">
        <f t="shared" ref="CZ60:CZ75" si="61">IF(DA60&gt;0,((1+(DC60/DA60))^(1/($A$101-$A$100))-1)*100,0)</f>
        <v>#VALUE!</v>
      </c>
      <c r="DA60" s="76" t="e">
        <f t="array" ref="DA60:DA75">MMULT(aggregation!$B$3:$W$8,DA8:DA48)</f>
        <v>#VALUE!</v>
      </c>
      <c r="DB60" s="76" t="e">
        <f t="array" ref="DB60:DB75">MMULT(aggregation!$B$3:$W$8,DB8:DB48)</f>
        <v>#VALUE!</v>
      </c>
      <c r="DC60" s="76" t="e">
        <f t="array" ref="DC60:DC75">MMULT(aggregation!$B$3:$W$8,DC8:DC48)</f>
        <v>#VALUE!</v>
      </c>
      <c r="DD60" s="76" t="e">
        <f t="array" ref="DD60:DD75">MMULT(aggregation!$B$3:$W$8,DD8:DD48)</f>
        <v>#VALUE!</v>
      </c>
      <c r="DF60" s="31" t="e">
        <f t="shared" ref="DF60:DF75" si="62">IF(DG60&gt;0,((1+(DI60/DG60))^(1/($A$101-$A$100))-1)*100,0)</f>
        <v>#VALUE!</v>
      </c>
      <c r="DG60" s="76" t="e">
        <f t="array" ref="DG60:DG75">MMULT(aggregation!$B$3:$W$8,DG8:DG48)</f>
        <v>#VALUE!</v>
      </c>
      <c r="DH60" s="76" t="e">
        <f t="array" ref="DH60:DH75">MMULT(aggregation!$B$3:$W$8,DH8:DH48)</f>
        <v>#VALUE!</v>
      </c>
      <c r="DI60" s="76" t="e">
        <f t="array" ref="DI60:DI75">MMULT(aggregation!$B$3:$W$8,DI8:DI48)</f>
        <v>#VALUE!</v>
      </c>
      <c r="DJ60" s="76" t="e">
        <f t="array" ref="DJ60:DJ75">MMULT(aggregation!$B$3:$W$8,DJ8:DJ48)</f>
        <v>#VALUE!</v>
      </c>
      <c r="DK60" s="76"/>
      <c r="DL60" s="31" t="e">
        <f t="shared" ref="DL60:DL75" si="63">IF(DM60&gt;0,((1+(DO60/DM60))^(1/($A$101-$A$100))-1)*100,0)</f>
        <v>#VALUE!</v>
      </c>
      <c r="DM60" s="76" t="e">
        <f t="array" ref="DM60:DM75">MMULT(aggregation!$B$3:$W$8,DM8:DM48)</f>
        <v>#VALUE!</v>
      </c>
      <c r="DN60" s="76" t="e">
        <f t="array" ref="DN60:DN75">MMULT(aggregation!$B$3:$W$8,DN8:DN48)</f>
        <v>#VALUE!</v>
      </c>
      <c r="DO60" s="76" t="e">
        <f t="array" ref="DO60:DO75">MMULT(aggregation!$B$3:$W$8,DO8:DO48)</f>
        <v>#VALUE!</v>
      </c>
      <c r="DP60" s="76" t="e">
        <f t="array" ref="DP60:DP75">MMULT(aggregation!$B$3:$W$8,DP8:DP48)</f>
        <v>#VALUE!</v>
      </c>
    </row>
    <row r="61" spans="1:120">
      <c r="A61" s="73" t="e">
        <f>name!#REF!</f>
        <v>#REF!</v>
      </c>
      <c r="B61" s="31" t="e">
        <f t="shared" si="44"/>
        <v>#VALUE!</v>
      </c>
      <c r="C61" s="76" t="e">
        <v>#VALUE!</v>
      </c>
      <c r="D61" s="76" t="e">
        <v>#VALUE!</v>
      </c>
      <c r="E61" s="76" t="e">
        <v>#VALUE!</v>
      </c>
      <c r="F61" s="76" t="e">
        <v>#VALUE!</v>
      </c>
      <c r="H61" s="31" t="e">
        <f t="shared" si="45"/>
        <v>#VALUE!</v>
      </c>
      <c r="I61" s="76" t="e">
        <v>#VALUE!</v>
      </c>
      <c r="J61" s="76" t="e">
        <v>#VALUE!</v>
      </c>
      <c r="K61" s="76" t="e">
        <v>#VALUE!</v>
      </c>
      <c r="L61" s="76" t="e">
        <v>#VALUE!</v>
      </c>
      <c r="N61" s="31" t="e">
        <f t="shared" si="46"/>
        <v>#VALUE!</v>
      </c>
      <c r="O61" s="76" t="e">
        <v>#VALUE!</v>
      </c>
      <c r="P61" s="76" t="e">
        <v>#VALUE!</v>
      </c>
      <c r="Q61" s="76" t="e">
        <v>#VALUE!</v>
      </c>
      <c r="R61" s="76" t="e">
        <v>#VALUE!</v>
      </c>
      <c r="S61" s="76"/>
      <c r="T61" s="31" t="e">
        <f t="shared" si="47"/>
        <v>#VALUE!</v>
      </c>
      <c r="U61" s="76" t="e">
        <v>#VALUE!</v>
      </c>
      <c r="V61" s="76" t="e">
        <v>#VALUE!</v>
      </c>
      <c r="W61" s="76" t="e">
        <v>#VALUE!</v>
      </c>
      <c r="X61" s="76" t="e">
        <v>#VALUE!</v>
      </c>
      <c r="Y61" s="73" t="e">
        <f t="shared" ref="Y61:Y75" si="64">A61</f>
        <v>#REF!</v>
      </c>
      <c r="Z61" s="31" t="e">
        <f t="shared" si="48"/>
        <v>#VALUE!</v>
      </c>
      <c r="AA61" s="76" t="e">
        <v>#VALUE!</v>
      </c>
      <c r="AB61" s="76" t="e">
        <v>#VALUE!</v>
      </c>
      <c r="AC61" s="76" t="e">
        <v>#VALUE!</v>
      </c>
      <c r="AD61" s="76" t="e">
        <v>#VALUE!</v>
      </c>
      <c r="AF61" s="31" t="e">
        <f t="shared" si="49"/>
        <v>#VALUE!</v>
      </c>
      <c r="AG61" s="76" t="e">
        <v>#VALUE!</v>
      </c>
      <c r="AH61" s="76" t="e">
        <v>#VALUE!</v>
      </c>
      <c r="AI61" s="76" t="e">
        <v>#VALUE!</v>
      </c>
      <c r="AJ61" s="76" t="e">
        <v>#VALUE!</v>
      </c>
      <c r="AL61" s="31" t="e">
        <f t="shared" si="50"/>
        <v>#VALUE!</v>
      </c>
      <c r="AM61" s="76" t="e">
        <v>#VALUE!</v>
      </c>
      <c r="AN61" s="76" t="e">
        <v>#VALUE!</v>
      </c>
      <c r="AO61" s="76" t="e">
        <v>#VALUE!</v>
      </c>
      <c r="AP61" s="76" t="e">
        <v>#VALUE!</v>
      </c>
      <c r="AQ61" s="76"/>
      <c r="AR61" s="31" t="e">
        <f t="shared" si="51"/>
        <v>#VALUE!</v>
      </c>
      <c r="AS61" s="76" t="e">
        <v>#VALUE!</v>
      </c>
      <c r="AT61" s="76" t="e">
        <v>#VALUE!</v>
      </c>
      <c r="AU61" s="76" t="e">
        <v>#VALUE!</v>
      </c>
      <c r="AV61" s="76" t="e">
        <v>#VALUE!</v>
      </c>
      <c r="AW61" s="73" t="e">
        <f t="shared" ref="AW61:AW75" si="65">Y61</f>
        <v>#REF!</v>
      </c>
      <c r="AX61" s="31" t="e">
        <f t="shared" si="52"/>
        <v>#VALUE!</v>
      </c>
      <c r="AY61" s="76" t="e">
        <v>#VALUE!</v>
      </c>
      <c r="AZ61" s="76" t="e">
        <v>#VALUE!</v>
      </c>
      <c r="BA61" s="76" t="e">
        <v>#VALUE!</v>
      </c>
      <c r="BB61" s="76" t="e">
        <v>#VALUE!</v>
      </c>
      <c r="BD61" s="31" t="e">
        <f t="shared" si="53"/>
        <v>#VALUE!</v>
      </c>
      <c r="BE61" s="76" t="e">
        <v>#VALUE!</v>
      </c>
      <c r="BF61" s="76" t="e">
        <v>#VALUE!</v>
      </c>
      <c r="BG61" s="76" t="e">
        <v>#VALUE!</v>
      </c>
      <c r="BH61" s="76" t="e">
        <v>#VALUE!</v>
      </c>
      <c r="BJ61" s="31" t="e">
        <f t="shared" si="54"/>
        <v>#VALUE!</v>
      </c>
      <c r="BK61" s="76" t="e">
        <v>#VALUE!</v>
      </c>
      <c r="BL61" s="76" t="e">
        <v>#VALUE!</v>
      </c>
      <c r="BM61" s="76" t="e">
        <v>#VALUE!</v>
      </c>
      <c r="BN61" s="76" t="e">
        <v>#VALUE!</v>
      </c>
      <c r="BO61" s="76"/>
      <c r="BP61" s="31" t="e">
        <f t="shared" si="55"/>
        <v>#VALUE!</v>
      </c>
      <c r="BQ61" s="76" t="e">
        <v>#VALUE!</v>
      </c>
      <c r="BR61" s="76" t="e">
        <v>#VALUE!</v>
      </c>
      <c r="BS61" s="76" t="e">
        <v>#VALUE!</v>
      </c>
      <c r="BT61" s="76" t="e">
        <v>#VALUE!</v>
      </c>
      <c r="BU61" s="73" t="e">
        <f t="shared" ref="BU61:BU75" si="66">AW61</f>
        <v>#REF!</v>
      </c>
      <c r="BV61" s="31" t="e">
        <f t="shared" si="56"/>
        <v>#VALUE!</v>
      </c>
      <c r="BW61" s="76" t="e">
        <v>#VALUE!</v>
      </c>
      <c r="BX61" s="76" t="e">
        <v>#VALUE!</v>
      </c>
      <c r="BY61" s="76" t="e">
        <v>#VALUE!</v>
      </c>
      <c r="BZ61" s="76" t="e">
        <v>#VALUE!</v>
      </c>
      <c r="CB61" s="31" t="e">
        <f t="shared" si="57"/>
        <v>#VALUE!</v>
      </c>
      <c r="CC61" s="76" t="e">
        <v>#VALUE!</v>
      </c>
      <c r="CD61" s="76" t="e">
        <v>#VALUE!</v>
      </c>
      <c r="CE61" s="76" t="e">
        <v>#VALUE!</v>
      </c>
      <c r="CF61" s="76" t="e">
        <v>#VALUE!</v>
      </c>
      <c r="CH61" s="31" t="e">
        <f t="shared" si="58"/>
        <v>#VALUE!</v>
      </c>
      <c r="CI61" s="76" t="e">
        <v>#VALUE!</v>
      </c>
      <c r="CJ61" s="76" t="e">
        <v>#VALUE!</v>
      </c>
      <c r="CK61" s="76" t="e">
        <v>#VALUE!</v>
      </c>
      <c r="CL61" s="76" t="e">
        <v>#VALUE!</v>
      </c>
      <c r="CM61" s="76"/>
      <c r="CN61" s="31" t="e">
        <f t="shared" si="59"/>
        <v>#VALUE!</v>
      </c>
      <c r="CO61" s="76" t="e">
        <v>#VALUE!</v>
      </c>
      <c r="CP61" s="76" t="e">
        <v>#VALUE!</v>
      </c>
      <c r="CQ61" s="76" t="e">
        <v>#VALUE!</v>
      </c>
      <c r="CR61" s="76" t="e">
        <v>#VALUE!</v>
      </c>
      <c r="CS61" s="73" t="e">
        <f t="shared" ref="CS61:CS75" si="67">BU61</f>
        <v>#REF!</v>
      </c>
      <c r="CT61" s="31" t="e">
        <f t="shared" si="60"/>
        <v>#VALUE!</v>
      </c>
      <c r="CU61" s="76" t="e">
        <v>#VALUE!</v>
      </c>
      <c r="CV61" s="76" t="e">
        <v>#VALUE!</v>
      </c>
      <c r="CW61" s="76" t="e">
        <v>#VALUE!</v>
      </c>
      <c r="CX61" s="76" t="e">
        <v>#VALUE!</v>
      </c>
      <c r="CZ61" s="31" t="e">
        <f t="shared" si="61"/>
        <v>#VALUE!</v>
      </c>
      <c r="DA61" s="76" t="e">
        <v>#VALUE!</v>
      </c>
      <c r="DB61" s="76" t="e">
        <v>#VALUE!</v>
      </c>
      <c r="DC61" s="76" t="e">
        <v>#VALUE!</v>
      </c>
      <c r="DD61" s="76" t="e">
        <v>#VALUE!</v>
      </c>
      <c r="DF61" s="31" t="e">
        <f t="shared" si="62"/>
        <v>#VALUE!</v>
      </c>
      <c r="DG61" s="76" t="e">
        <v>#VALUE!</v>
      </c>
      <c r="DH61" s="76" t="e">
        <v>#VALUE!</v>
      </c>
      <c r="DI61" s="76" t="e">
        <v>#VALUE!</v>
      </c>
      <c r="DJ61" s="76" t="e">
        <v>#VALUE!</v>
      </c>
      <c r="DK61" s="76"/>
      <c r="DL61" s="31" t="e">
        <f t="shared" si="63"/>
        <v>#VALUE!</v>
      </c>
      <c r="DM61" s="76" t="e">
        <v>#VALUE!</v>
      </c>
      <c r="DN61" s="76" t="e">
        <v>#VALUE!</v>
      </c>
      <c r="DO61" s="76" t="e">
        <v>#VALUE!</v>
      </c>
      <c r="DP61" s="76" t="e">
        <v>#VALUE!</v>
      </c>
    </row>
    <row r="62" spans="1:120">
      <c r="A62" s="73" t="e">
        <f>name!#REF!</f>
        <v>#REF!</v>
      </c>
      <c r="B62" s="31" t="e">
        <f t="shared" si="44"/>
        <v>#VALUE!</v>
      </c>
      <c r="C62" s="76" t="e">
        <v>#VALUE!</v>
      </c>
      <c r="D62" s="76" t="e">
        <v>#VALUE!</v>
      </c>
      <c r="E62" s="76" t="e">
        <v>#VALUE!</v>
      </c>
      <c r="F62" s="76" t="e">
        <v>#VALUE!</v>
      </c>
      <c r="H62" s="31" t="e">
        <f t="shared" si="45"/>
        <v>#VALUE!</v>
      </c>
      <c r="I62" s="76" t="e">
        <v>#VALUE!</v>
      </c>
      <c r="J62" s="76" t="e">
        <v>#VALUE!</v>
      </c>
      <c r="K62" s="76" t="e">
        <v>#VALUE!</v>
      </c>
      <c r="L62" s="76" t="e">
        <v>#VALUE!</v>
      </c>
      <c r="N62" s="31" t="e">
        <f t="shared" si="46"/>
        <v>#VALUE!</v>
      </c>
      <c r="O62" s="76" t="e">
        <v>#VALUE!</v>
      </c>
      <c r="P62" s="76" t="e">
        <v>#VALUE!</v>
      </c>
      <c r="Q62" s="76" t="e">
        <v>#VALUE!</v>
      </c>
      <c r="R62" s="76" t="e">
        <v>#VALUE!</v>
      </c>
      <c r="S62" s="76"/>
      <c r="T62" s="31" t="e">
        <f t="shared" si="47"/>
        <v>#VALUE!</v>
      </c>
      <c r="U62" s="76" t="e">
        <v>#VALUE!</v>
      </c>
      <c r="V62" s="76" t="e">
        <v>#VALUE!</v>
      </c>
      <c r="W62" s="76" t="e">
        <v>#VALUE!</v>
      </c>
      <c r="X62" s="76" t="e">
        <v>#VALUE!</v>
      </c>
      <c r="Y62" s="73" t="e">
        <f t="shared" si="64"/>
        <v>#REF!</v>
      </c>
      <c r="Z62" s="31" t="e">
        <f t="shared" si="48"/>
        <v>#VALUE!</v>
      </c>
      <c r="AA62" s="76" t="e">
        <v>#VALUE!</v>
      </c>
      <c r="AB62" s="76" t="e">
        <v>#VALUE!</v>
      </c>
      <c r="AC62" s="76" t="e">
        <v>#VALUE!</v>
      </c>
      <c r="AD62" s="76" t="e">
        <v>#VALUE!</v>
      </c>
      <c r="AF62" s="31" t="e">
        <f t="shared" si="49"/>
        <v>#VALUE!</v>
      </c>
      <c r="AG62" s="76" t="e">
        <v>#VALUE!</v>
      </c>
      <c r="AH62" s="76" t="e">
        <v>#VALUE!</v>
      </c>
      <c r="AI62" s="76" t="e">
        <v>#VALUE!</v>
      </c>
      <c r="AJ62" s="76" t="e">
        <v>#VALUE!</v>
      </c>
      <c r="AL62" s="31" t="e">
        <f t="shared" si="50"/>
        <v>#VALUE!</v>
      </c>
      <c r="AM62" s="76" t="e">
        <v>#VALUE!</v>
      </c>
      <c r="AN62" s="76" t="e">
        <v>#VALUE!</v>
      </c>
      <c r="AO62" s="76" t="e">
        <v>#VALUE!</v>
      </c>
      <c r="AP62" s="76" t="e">
        <v>#VALUE!</v>
      </c>
      <c r="AQ62" s="76"/>
      <c r="AR62" s="31" t="e">
        <f t="shared" si="51"/>
        <v>#VALUE!</v>
      </c>
      <c r="AS62" s="76" t="e">
        <v>#VALUE!</v>
      </c>
      <c r="AT62" s="76" t="e">
        <v>#VALUE!</v>
      </c>
      <c r="AU62" s="76" t="e">
        <v>#VALUE!</v>
      </c>
      <c r="AV62" s="76" t="e">
        <v>#VALUE!</v>
      </c>
      <c r="AW62" s="73" t="e">
        <f t="shared" si="65"/>
        <v>#REF!</v>
      </c>
      <c r="AX62" s="31" t="e">
        <f t="shared" si="52"/>
        <v>#VALUE!</v>
      </c>
      <c r="AY62" s="76" t="e">
        <v>#VALUE!</v>
      </c>
      <c r="AZ62" s="76" t="e">
        <v>#VALUE!</v>
      </c>
      <c r="BA62" s="76" t="e">
        <v>#VALUE!</v>
      </c>
      <c r="BB62" s="76" t="e">
        <v>#VALUE!</v>
      </c>
      <c r="BD62" s="31" t="e">
        <f t="shared" si="53"/>
        <v>#VALUE!</v>
      </c>
      <c r="BE62" s="76" t="e">
        <v>#VALUE!</v>
      </c>
      <c r="BF62" s="76" t="e">
        <v>#VALUE!</v>
      </c>
      <c r="BG62" s="76" t="e">
        <v>#VALUE!</v>
      </c>
      <c r="BH62" s="76" t="e">
        <v>#VALUE!</v>
      </c>
      <c r="BJ62" s="31" t="e">
        <f t="shared" si="54"/>
        <v>#VALUE!</v>
      </c>
      <c r="BK62" s="76" t="e">
        <v>#VALUE!</v>
      </c>
      <c r="BL62" s="76" t="e">
        <v>#VALUE!</v>
      </c>
      <c r="BM62" s="76" t="e">
        <v>#VALUE!</v>
      </c>
      <c r="BN62" s="76" t="e">
        <v>#VALUE!</v>
      </c>
      <c r="BO62" s="76"/>
      <c r="BP62" s="31" t="e">
        <f t="shared" si="55"/>
        <v>#VALUE!</v>
      </c>
      <c r="BQ62" s="76" t="e">
        <v>#VALUE!</v>
      </c>
      <c r="BR62" s="76" t="e">
        <v>#VALUE!</v>
      </c>
      <c r="BS62" s="76" t="e">
        <v>#VALUE!</v>
      </c>
      <c r="BT62" s="76" t="e">
        <v>#VALUE!</v>
      </c>
      <c r="BU62" s="73" t="e">
        <f t="shared" si="66"/>
        <v>#REF!</v>
      </c>
      <c r="BV62" s="31" t="e">
        <f t="shared" si="56"/>
        <v>#VALUE!</v>
      </c>
      <c r="BW62" s="76" t="e">
        <v>#VALUE!</v>
      </c>
      <c r="BX62" s="76" t="e">
        <v>#VALUE!</v>
      </c>
      <c r="BY62" s="76" t="e">
        <v>#VALUE!</v>
      </c>
      <c r="BZ62" s="76" t="e">
        <v>#VALUE!</v>
      </c>
      <c r="CB62" s="31" t="e">
        <f t="shared" si="57"/>
        <v>#VALUE!</v>
      </c>
      <c r="CC62" s="76" t="e">
        <v>#VALUE!</v>
      </c>
      <c r="CD62" s="76" t="e">
        <v>#VALUE!</v>
      </c>
      <c r="CE62" s="76" t="e">
        <v>#VALUE!</v>
      </c>
      <c r="CF62" s="76" t="e">
        <v>#VALUE!</v>
      </c>
      <c r="CH62" s="31" t="e">
        <f t="shared" si="58"/>
        <v>#VALUE!</v>
      </c>
      <c r="CI62" s="76" t="e">
        <v>#VALUE!</v>
      </c>
      <c r="CJ62" s="76" t="e">
        <v>#VALUE!</v>
      </c>
      <c r="CK62" s="76" t="e">
        <v>#VALUE!</v>
      </c>
      <c r="CL62" s="76" t="e">
        <v>#VALUE!</v>
      </c>
      <c r="CM62" s="76"/>
      <c r="CN62" s="31" t="e">
        <f t="shared" si="59"/>
        <v>#VALUE!</v>
      </c>
      <c r="CO62" s="76" t="e">
        <v>#VALUE!</v>
      </c>
      <c r="CP62" s="76" t="e">
        <v>#VALUE!</v>
      </c>
      <c r="CQ62" s="76" t="e">
        <v>#VALUE!</v>
      </c>
      <c r="CR62" s="76" t="e">
        <v>#VALUE!</v>
      </c>
      <c r="CS62" s="73" t="e">
        <f t="shared" si="67"/>
        <v>#REF!</v>
      </c>
      <c r="CT62" s="31" t="e">
        <f t="shared" si="60"/>
        <v>#VALUE!</v>
      </c>
      <c r="CU62" s="76" t="e">
        <v>#VALUE!</v>
      </c>
      <c r="CV62" s="76" t="e">
        <v>#VALUE!</v>
      </c>
      <c r="CW62" s="76" t="e">
        <v>#VALUE!</v>
      </c>
      <c r="CX62" s="76" t="e">
        <v>#VALUE!</v>
      </c>
      <c r="CZ62" s="31" t="e">
        <f t="shared" si="61"/>
        <v>#VALUE!</v>
      </c>
      <c r="DA62" s="76" t="e">
        <v>#VALUE!</v>
      </c>
      <c r="DB62" s="76" t="e">
        <v>#VALUE!</v>
      </c>
      <c r="DC62" s="76" t="e">
        <v>#VALUE!</v>
      </c>
      <c r="DD62" s="76" t="e">
        <v>#VALUE!</v>
      </c>
      <c r="DF62" s="31" t="e">
        <f t="shared" si="62"/>
        <v>#VALUE!</v>
      </c>
      <c r="DG62" s="76" t="e">
        <v>#VALUE!</v>
      </c>
      <c r="DH62" s="76" t="e">
        <v>#VALUE!</v>
      </c>
      <c r="DI62" s="76" t="e">
        <v>#VALUE!</v>
      </c>
      <c r="DJ62" s="76" t="e">
        <v>#VALUE!</v>
      </c>
      <c r="DK62" s="76"/>
      <c r="DL62" s="31" t="e">
        <f t="shared" si="63"/>
        <v>#VALUE!</v>
      </c>
      <c r="DM62" s="76" t="e">
        <v>#VALUE!</v>
      </c>
      <c r="DN62" s="76" t="e">
        <v>#VALUE!</v>
      </c>
      <c r="DO62" s="76" t="e">
        <v>#VALUE!</v>
      </c>
      <c r="DP62" s="76" t="e">
        <v>#VALUE!</v>
      </c>
    </row>
    <row r="63" spans="1:120">
      <c r="A63" s="73" t="e">
        <f>name!#REF!</f>
        <v>#REF!</v>
      </c>
      <c r="B63" s="31" t="e">
        <f t="shared" si="44"/>
        <v>#VALUE!</v>
      </c>
      <c r="C63" s="76" t="e">
        <v>#VALUE!</v>
      </c>
      <c r="D63" s="76" t="e">
        <v>#VALUE!</v>
      </c>
      <c r="E63" s="76" t="e">
        <v>#VALUE!</v>
      </c>
      <c r="F63" s="76" t="e">
        <v>#VALUE!</v>
      </c>
      <c r="H63" s="31" t="e">
        <f t="shared" si="45"/>
        <v>#VALUE!</v>
      </c>
      <c r="I63" s="76" t="e">
        <v>#VALUE!</v>
      </c>
      <c r="J63" s="76" t="e">
        <v>#VALUE!</v>
      </c>
      <c r="K63" s="76" t="e">
        <v>#VALUE!</v>
      </c>
      <c r="L63" s="76" t="e">
        <v>#VALUE!</v>
      </c>
      <c r="N63" s="31" t="e">
        <f t="shared" si="46"/>
        <v>#VALUE!</v>
      </c>
      <c r="O63" s="76" t="e">
        <v>#VALUE!</v>
      </c>
      <c r="P63" s="76" t="e">
        <v>#VALUE!</v>
      </c>
      <c r="Q63" s="76" t="e">
        <v>#VALUE!</v>
      </c>
      <c r="R63" s="76" t="e">
        <v>#VALUE!</v>
      </c>
      <c r="S63" s="76"/>
      <c r="T63" s="31" t="e">
        <f t="shared" si="47"/>
        <v>#VALUE!</v>
      </c>
      <c r="U63" s="76" t="e">
        <v>#VALUE!</v>
      </c>
      <c r="V63" s="76" t="e">
        <v>#VALUE!</v>
      </c>
      <c r="W63" s="76" t="e">
        <v>#VALUE!</v>
      </c>
      <c r="X63" s="76" t="e">
        <v>#VALUE!</v>
      </c>
      <c r="Y63" s="73" t="e">
        <f t="shared" si="64"/>
        <v>#REF!</v>
      </c>
      <c r="Z63" s="31" t="e">
        <f t="shared" si="48"/>
        <v>#VALUE!</v>
      </c>
      <c r="AA63" s="76" t="e">
        <v>#VALUE!</v>
      </c>
      <c r="AB63" s="76" t="e">
        <v>#VALUE!</v>
      </c>
      <c r="AC63" s="76" t="e">
        <v>#VALUE!</v>
      </c>
      <c r="AD63" s="76" t="e">
        <v>#VALUE!</v>
      </c>
      <c r="AF63" s="31" t="e">
        <f t="shared" si="49"/>
        <v>#VALUE!</v>
      </c>
      <c r="AG63" s="76" t="e">
        <v>#VALUE!</v>
      </c>
      <c r="AH63" s="76" t="e">
        <v>#VALUE!</v>
      </c>
      <c r="AI63" s="76" t="e">
        <v>#VALUE!</v>
      </c>
      <c r="AJ63" s="76" t="e">
        <v>#VALUE!</v>
      </c>
      <c r="AL63" s="31" t="e">
        <f t="shared" si="50"/>
        <v>#VALUE!</v>
      </c>
      <c r="AM63" s="76" t="e">
        <v>#VALUE!</v>
      </c>
      <c r="AN63" s="76" t="e">
        <v>#VALUE!</v>
      </c>
      <c r="AO63" s="76" t="e">
        <v>#VALUE!</v>
      </c>
      <c r="AP63" s="76" t="e">
        <v>#VALUE!</v>
      </c>
      <c r="AQ63" s="76"/>
      <c r="AR63" s="31" t="e">
        <f t="shared" si="51"/>
        <v>#VALUE!</v>
      </c>
      <c r="AS63" s="76" t="e">
        <v>#VALUE!</v>
      </c>
      <c r="AT63" s="76" t="e">
        <v>#VALUE!</v>
      </c>
      <c r="AU63" s="76" t="e">
        <v>#VALUE!</v>
      </c>
      <c r="AV63" s="76" t="e">
        <v>#VALUE!</v>
      </c>
      <c r="AW63" s="73" t="e">
        <f t="shared" si="65"/>
        <v>#REF!</v>
      </c>
      <c r="AX63" s="31" t="e">
        <f t="shared" si="52"/>
        <v>#VALUE!</v>
      </c>
      <c r="AY63" s="76" t="e">
        <v>#VALUE!</v>
      </c>
      <c r="AZ63" s="76" t="e">
        <v>#VALUE!</v>
      </c>
      <c r="BA63" s="76" t="e">
        <v>#VALUE!</v>
      </c>
      <c r="BB63" s="76" t="e">
        <v>#VALUE!</v>
      </c>
      <c r="BD63" s="31" t="e">
        <f t="shared" si="53"/>
        <v>#VALUE!</v>
      </c>
      <c r="BE63" s="76" t="e">
        <v>#VALUE!</v>
      </c>
      <c r="BF63" s="76" t="e">
        <v>#VALUE!</v>
      </c>
      <c r="BG63" s="76" t="e">
        <v>#VALUE!</v>
      </c>
      <c r="BH63" s="76" t="e">
        <v>#VALUE!</v>
      </c>
      <c r="BJ63" s="31" t="e">
        <f t="shared" si="54"/>
        <v>#VALUE!</v>
      </c>
      <c r="BK63" s="76" t="e">
        <v>#VALUE!</v>
      </c>
      <c r="BL63" s="76" t="e">
        <v>#VALUE!</v>
      </c>
      <c r="BM63" s="76" t="e">
        <v>#VALUE!</v>
      </c>
      <c r="BN63" s="76" t="e">
        <v>#VALUE!</v>
      </c>
      <c r="BO63" s="76"/>
      <c r="BP63" s="31" t="e">
        <f t="shared" si="55"/>
        <v>#VALUE!</v>
      </c>
      <c r="BQ63" s="76" t="e">
        <v>#VALUE!</v>
      </c>
      <c r="BR63" s="76" t="e">
        <v>#VALUE!</v>
      </c>
      <c r="BS63" s="76" t="e">
        <v>#VALUE!</v>
      </c>
      <c r="BT63" s="76" t="e">
        <v>#VALUE!</v>
      </c>
      <c r="BU63" s="73" t="e">
        <f t="shared" si="66"/>
        <v>#REF!</v>
      </c>
      <c r="BV63" s="31" t="e">
        <f t="shared" si="56"/>
        <v>#VALUE!</v>
      </c>
      <c r="BW63" s="76" t="e">
        <v>#VALUE!</v>
      </c>
      <c r="BX63" s="76" t="e">
        <v>#VALUE!</v>
      </c>
      <c r="BY63" s="76" t="e">
        <v>#VALUE!</v>
      </c>
      <c r="BZ63" s="76" t="e">
        <v>#VALUE!</v>
      </c>
      <c r="CB63" s="31" t="e">
        <f t="shared" si="57"/>
        <v>#VALUE!</v>
      </c>
      <c r="CC63" s="76" t="e">
        <v>#VALUE!</v>
      </c>
      <c r="CD63" s="76" t="e">
        <v>#VALUE!</v>
      </c>
      <c r="CE63" s="76" t="e">
        <v>#VALUE!</v>
      </c>
      <c r="CF63" s="76" t="e">
        <v>#VALUE!</v>
      </c>
      <c r="CH63" s="31" t="e">
        <f t="shared" si="58"/>
        <v>#VALUE!</v>
      </c>
      <c r="CI63" s="76" t="e">
        <v>#VALUE!</v>
      </c>
      <c r="CJ63" s="76" t="e">
        <v>#VALUE!</v>
      </c>
      <c r="CK63" s="76" t="e">
        <v>#VALUE!</v>
      </c>
      <c r="CL63" s="76" t="e">
        <v>#VALUE!</v>
      </c>
      <c r="CM63" s="76"/>
      <c r="CN63" s="31" t="e">
        <f t="shared" si="59"/>
        <v>#VALUE!</v>
      </c>
      <c r="CO63" s="76" t="e">
        <v>#VALUE!</v>
      </c>
      <c r="CP63" s="76" t="e">
        <v>#VALUE!</v>
      </c>
      <c r="CQ63" s="76" t="e">
        <v>#VALUE!</v>
      </c>
      <c r="CR63" s="76" t="e">
        <v>#VALUE!</v>
      </c>
      <c r="CS63" s="73" t="e">
        <f t="shared" si="67"/>
        <v>#REF!</v>
      </c>
      <c r="CT63" s="31" t="e">
        <f t="shared" si="60"/>
        <v>#VALUE!</v>
      </c>
      <c r="CU63" s="76" t="e">
        <v>#VALUE!</v>
      </c>
      <c r="CV63" s="76" t="e">
        <v>#VALUE!</v>
      </c>
      <c r="CW63" s="76" t="e">
        <v>#VALUE!</v>
      </c>
      <c r="CX63" s="76" t="e">
        <v>#VALUE!</v>
      </c>
      <c r="CZ63" s="31" t="e">
        <f t="shared" si="61"/>
        <v>#VALUE!</v>
      </c>
      <c r="DA63" s="76" t="e">
        <v>#VALUE!</v>
      </c>
      <c r="DB63" s="76" t="e">
        <v>#VALUE!</v>
      </c>
      <c r="DC63" s="76" t="e">
        <v>#VALUE!</v>
      </c>
      <c r="DD63" s="76" t="e">
        <v>#VALUE!</v>
      </c>
      <c r="DF63" s="31" t="e">
        <f t="shared" si="62"/>
        <v>#VALUE!</v>
      </c>
      <c r="DG63" s="76" t="e">
        <v>#VALUE!</v>
      </c>
      <c r="DH63" s="76" t="e">
        <v>#VALUE!</v>
      </c>
      <c r="DI63" s="76" t="e">
        <v>#VALUE!</v>
      </c>
      <c r="DJ63" s="76" t="e">
        <v>#VALUE!</v>
      </c>
      <c r="DK63" s="76"/>
      <c r="DL63" s="31" t="e">
        <f t="shared" si="63"/>
        <v>#VALUE!</v>
      </c>
      <c r="DM63" s="76" t="e">
        <v>#VALUE!</v>
      </c>
      <c r="DN63" s="76" t="e">
        <v>#VALUE!</v>
      </c>
      <c r="DO63" s="76" t="e">
        <v>#VALUE!</v>
      </c>
      <c r="DP63" s="76" t="e">
        <v>#VALUE!</v>
      </c>
    </row>
    <row r="64" spans="1:120">
      <c r="A64" s="73" t="e">
        <f>name!#REF!</f>
        <v>#REF!</v>
      </c>
      <c r="B64" s="31" t="e">
        <f t="shared" si="44"/>
        <v>#VALUE!</v>
      </c>
      <c r="C64" s="76" t="e">
        <v>#VALUE!</v>
      </c>
      <c r="D64" s="76" t="e">
        <v>#VALUE!</v>
      </c>
      <c r="E64" s="76" t="e">
        <v>#VALUE!</v>
      </c>
      <c r="F64" s="76" t="e">
        <v>#VALUE!</v>
      </c>
      <c r="H64" s="31" t="e">
        <f t="shared" si="45"/>
        <v>#VALUE!</v>
      </c>
      <c r="I64" s="76" t="e">
        <v>#VALUE!</v>
      </c>
      <c r="J64" s="76" t="e">
        <v>#VALUE!</v>
      </c>
      <c r="K64" s="76" t="e">
        <v>#VALUE!</v>
      </c>
      <c r="L64" s="76" t="e">
        <v>#VALUE!</v>
      </c>
      <c r="N64" s="31" t="e">
        <f t="shared" si="46"/>
        <v>#VALUE!</v>
      </c>
      <c r="O64" s="76" t="e">
        <v>#VALUE!</v>
      </c>
      <c r="P64" s="76" t="e">
        <v>#VALUE!</v>
      </c>
      <c r="Q64" s="76" t="e">
        <v>#VALUE!</v>
      </c>
      <c r="R64" s="76" t="e">
        <v>#VALUE!</v>
      </c>
      <c r="S64" s="76"/>
      <c r="T64" s="31" t="e">
        <f t="shared" si="47"/>
        <v>#VALUE!</v>
      </c>
      <c r="U64" s="76" t="e">
        <v>#VALUE!</v>
      </c>
      <c r="V64" s="76" t="e">
        <v>#VALUE!</v>
      </c>
      <c r="W64" s="76" t="e">
        <v>#VALUE!</v>
      </c>
      <c r="X64" s="76" t="e">
        <v>#VALUE!</v>
      </c>
      <c r="Y64" s="73" t="e">
        <f t="shared" si="64"/>
        <v>#REF!</v>
      </c>
      <c r="Z64" s="31" t="e">
        <f t="shared" si="48"/>
        <v>#VALUE!</v>
      </c>
      <c r="AA64" s="76" t="e">
        <v>#VALUE!</v>
      </c>
      <c r="AB64" s="76" t="e">
        <v>#VALUE!</v>
      </c>
      <c r="AC64" s="76" t="e">
        <v>#VALUE!</v>
      </c>
      <c r="AD64" s="76" t="e">
        <v>#VALUE!</v>
      </c>
      <c r="AF64" s="31" t="e">
        <f t="shared" si="49"/>
        <v>#VALUE!</v>
      </c>
      <c r="AG64" s="76" t="e">
        <v>#VALUE!</v>
      </c>
      <c r="AH64" s="76" t="e">
        <v>#VALUE!</v>
      </c>
      <c r="AI64" s="76" t="e">
        <v>#VALUE!</v>
      </c>
      <c r="AJ64" s="76" t="e">
        <v>#VALUE!</v>
      </c>
      <c r="AL64" s="31" t="e">
        <f t="shared" si="50"/>
        <v>#VALUE!</v>
      </c>
      <c r="AM64" s="76" t="e">
        <v>#VALUE!</v>
      </c>
      <c r="AN64" s="76" t="e">
        <v>#VALUE!</v>
      </c>
      <c r="AO64" s="76" t="e">
        <v>#VALUE!</v>
      </c>
      <c r="AP64" s="76" t="e">
        <v>#VALUE!</v>
      </c>
      <c r="AQ64" s="76"/>
      <c r="AR64" s="31" t="e">
        <f t="shared" si="51"/>
        <v>#VALUE!</v>
      </c>
      <c r="AS64" s="76" t="e">
        <v>#VALUE!</v>
      </c>
      <c r="AT64" s="76" t="e">
        <v>#VALUE!</v>
      </c>
      <c r="AU64" s="76" t="e">
        <v>#VALUE!</v>
      </c>
      <c r="AV64" s="76" t="e">
        <v>#VALUE!</v>
      </c>
      <c r="AW64" s="73" t="e">
        <f t="shared" si="65"/>
        <v>#REF!</v>
      </c>
      <c r="AX64" s="31" t="e">
        <f t="shared" si="52"/>
        <v>#VALUE!</v>
      </c>
      <c r="AY64" s="76" t="e">
        <v>#VALUE!</v>
      </c>
      <c r="AZ64" s="76" t="e">
        <v>#VALUE!</v>
      </c>
      <c r="BA64" s="76" t="e">
        <v>#VALUE!</v>
      </c>
      <c r="BB64" s="76" t="e">
        <v>#VALUE!</v>
      </c>
      <c r="BD64" s="31" t="e">
        <f t="shared" si="53"/>
        <v>#VALUE!</v>
      </c>
      <c r="BE64" s="76" t="e">
        <v>#VALUE!</v>
      </c>
      <c r="BF64" s="76" t="e">
        <v>#VALUE!</v>
      </c>
      <c r="BG64" s="76" t="e">
        <v>#VALUE!</v>
      </c>
      <c r="BH64" s="76" t="e">
        <v>#VALUE!</v>
      </c>
      <c r="BJ64" s="31" t="e">
        <f t="shared" si="54"/>
        <v>#VALUE!</v>
      </c>
      <c r="BK64" s="76" t="e">
        <v>#VALUE!</v>
      </c>
      <c r="BL64" s="76" t="e">
        <v>#VALUE!</v>
      </c>
      <c r="BM64" s="76" t="e">
        <v>#VALUE!</v>
      </c>
      <c r="BN64" s="76" t="e">
        <v>#VALUE!</v>
      </c>
      <c r="BO64" s="76"/>
      <c r="BP64" s="31" t="e">
        <f t="shared" si="55"/>
        <v>#VALUE!</v>
      </c>
      <c r="BQ64" s="76" t="e">
        <v>#VALUE!</v>
      </c>
      <c r="BR64" s="76" t="e">
        <v>#VALUE!</v>
      </c>
      <c r="BS64" s="76" t="e">
        <v>#VALUE!</v>
      </c>
      <c r="BT64" s="76" t="e">
        <v>#VALUE!</v>
      </c>
      <c r="BU64" s="73" t="e">
        <f t="shared" si="66"/>
        <v>#REF!</v>
      </c>
      <c r="BV64" s="31" t="e">
        <f t="shared" si="56"/>
        <v>#VALUE!</v>
      </c>
      <c r="BW64" s="76" t="e">
        <v>#VALUE!</v>
      </c>
      <c r="BX64" s="76" t="e">
        <v>#VALUE!</v>
      </c>
      <c r="BY64" s="76" t="e">
        <v>#VALUE!</v>
      </c>
      <c r="BZ64" s="76" t="e">
        <v>#VALUE!</v>
      </c>
      <c r="CB64" s="31" t="e">
        <f t="shared" si="57"/>
        <v>#VALUE!</v>
      </c>
      <c r="CC64" s="76" t="e">
        <v>#VALUE!</v>
      </c>
      <c r="CD64" s="76" t="e">
        <v>#VALUE!</v>
      </c>
      <c r="CE64" s="76" t="e">
        <v>#VALUE!</v>
      </c>
      <c r="CF64" s="76" t="e">
        <v>#VALUE!</v>
      </c>
      <c r="CH64" s="31" t="e">
        <f t="shared" si="58"/>
        <v>#VALUE!</v>
      </c>
      <c r="CI64" s="76" t="e">
        <v>#VALUE!</v>
      </c>
      <c r="CJ64" s="76" t="e">
        <v>#VALUE!</v>
      </c>
      <c r="CK64" s="76" t="e">
        <v>#VALUE!</v>
      </c>
      <c r="CL64" s="76" t="e">
        <v>#VALUE!</v>
      </c>
      <c r="CM64" s="76"/>
      <c r="CN64" s="31" t="e">
        <f t="shared" si="59"/>
        <v>#VALUE!</v>
      </c>
      <c r="CO64" s="76" t="e">
        <v>#VALUE!</v>
      </c>
      <c r="CP64" s="76" t="e">
        <v>#VALUE!</v>
      </c>
      <c r="CQ64" s="76" t="e">
        <v>#VALUE!</v>
      </c>
      <c r="CR64" s="76" t="e">
        <v>#VALUE!</v>
      </c>
      <c r="CS64" s="73" t="e">
        <f t="shared" si="67"/>
        <v>#REF!</v>
      </c>
      <c r="CT64" s="31" t="e">
        <f t="shared" si="60"/>
        <v>#VALUE!</v>
      </c>
      <c r="CU64" s="76" t="e">
        <v>#VALUE!</v>
      </c>
      <c r="CV64" s="76" t="e">
        <v>#VALUE!</v>
      </c>
      <c r="CW64" s="76" t="e">
        <v>#VALUE!</v>
      </c>
      <c r="CX64" s="76" t="e">
        <v>#VALUE!</v>
      </c>
      <c r="CZ64" s="31" t="e">
        <f t="shared" si="61"/>
        <v>#VALUE!</v>
      </c>
      <c r="DA64" s="76" t="e">
        <v>#VALUE!</v>
      </c>
      <c r="DB64" s="76" t="e">
        <v>#VALUE!</v>
      </c>
      <c r="DC64" s="76" t="e">
        <v>#VALUE!</v>
      </c>
      <c r="DD64" s="76" t="e">
        <v>#VALUE!</v>
      </c>
      <c r="DF64" s="31" t="e">
        <f t="shared" si="62"/>
        <v>#VALUE!</v>
      </c>
      <c r="DG64" s="76" t="e">
        <v>#VALUE!</v>
      </c>
      <c r="DH64" s="76" t="e">
        <v>#VALUE!</v>
      </c>
      <c r="DI64" s="76" t="e">
        <v>#VALUE!</v>
      </c>
      <c r="DJ64" s="76" t="e">
        <v>#VALUE!</v>
      </c>
      <c r="DK64" s="76"/>
      <c r="DL64" s="31" t="e">
        <f t="shared" si="63"/>
        <v>#VALUE!</v>
      </c>
      <c r="DM64" s="76" t="e">
        <v>#VALUE!</v>
      </c>
      <c r="DN64" s="76" t="e">
        <v>#VALUE!</v>
      </c>
      <c r="DO64" s="76" t="e">
        <v>#VALUE!</v>
      </c>
      <c r="DP64" s="76" t="e">
        <v>#VALUE!</v>
      </c>
    </row>
    <row r="65" spans="1:120">
      <c r="A65" s="73" t="e">
        <f>name!#REF!</f>
        <v>#REF!</v>
      </c>
      <c r="B65" s="31" t="e">
        <f t="shared" si="44"/>
        <v>#VALUE!</v>
      </c>
      <c r="C65" s="76" t="e">
        <v>#VALUE!</v>
      </c>
      <c r="D65" s="76" t="e">
        <v>#VALUE!</v>
      </c>
      <c r="E65" s="76" t="e">
        <v>#VALUE!</v>
      </c>
      <c r="F65" s="76" t="e">
        <v>#VALUE!</v>
      </c>
      <c r="H65" s="31" t="e">
        <f t="shared" si="45"/>
        <v>#VALUE!</v>
      </c>
      <c r="I65" s="76" t="e">
        <v>#VALUE!</v>
      </c>
      <c r="J65" s="76" t="e">
        <v>#VALUE!</v>
      </c>
      <c r="K65" s="76" t="e">
        <v>#VALUE!</v>
      </c>
      <c r="L65" s="76" t="e">
        <v>#VALUE!</v>
      </c>
      <c r="N65" s="31" t="e">
        <f t="shared" si="46"/>
        <v>#VALUE!</v>
      </c>
      <c r="O65" s="76" t="e">
        <v>#VALUE!</v>
      </c>
      <c r="P65" s="76" t="e">
        <v>#VALUE!</v>
      </c>
      <c r="Q65" s="76" t="e">
        <v>#VALUE!</v>
      </c>
      <c r="R65" s="76" t="e">
        <v>#VALUE!</v>
      </c>
      <c r="S65" s="76"/>
      <c r="T65" s="31" t="e">
        <f t="shared" si="47"/>
        <v>#VALUE!</v>
      </c>
      <c r="U65" s="76" t="e">
        <v>#VALUE!</v>
      </c>
      <c r="V65" s="76" t="e">
        <v>#VALUE!</v>
      </c>
      <c r="W65" s="76" t="e">
        <v>#VALUE!</v>
      </c>
      <c r="X65" s="76" t="e">
        <v>#VALUE!</v>
      </c>
      <c r="Y65" s="73" t="e">
        <f t="shared" si="64"/>
        <v>#REF!</v>
      </c>
      <c r="Z65" s="31" t="e">
        <f t="shared" si="48"/>
        <v>#VALUE!</v>
      </c>
      <c r="AA65" s="76" t="e">
        <v>#VALUE!</v>
      </c>
      <c r="AB65" s="76" t="e">
        <v>#VALUE!</v>
      </c>
      <c r="AC65" s="76" t="e">
        <v>#VALUE!</v>
      </c>
      <c r="AD65" s="76" t="e">
        <v>#VALUE!</v>
      </c>
      <c r="AF65" s="31" t="e">
        <f t="shared" si="49"/>
        <v>#VALUE!</v>
      </c>
      <c r="AG65" s="76" t="e">
        <v>#VALUE!</v>
      </c>
      <c r="AH65" s="76" t="e">
        <v>#VALUE!</v>
      </c>
      <c r="AI65" s="76" t="e">
        <v>#VALUE!</v>
      </c>
      <c r="AJ65" s="76" t="e">
        <v>#VALUE!</v>
      </c>
      <c r="AL65" s="31" t="e">
        <f t="shared" si="50"/>
        <v>#VALUE!</v>
      </c>
      <c r="AM65" s="76" t="e">
        <v>#VALUE!</v>
      </c>
      <c r="AN65" s="76" t="e">
        <v>#VALUE!</v>
      </c>
      <c r="AO65" s="76" t="e">
        <v>#VALUE!</v>
      </c>
      <c r="AP65" s="76" t="e">
        <v>#VALUE!</v>
      </c>
      <c r="AQ65" s="76"/>
      <c r="AR65" s="31" t="e">
        <f t="shared" si="51"/>
        <v>#VALUE!</v>
      </c>
      <c r="AS65" s="76" t="e">
        <v>#VALUE!</v>
      </c>
      <c r="AT65" s="76" t="e">
        <v>#VALUE!</v>
      </c>
      <c r="AU65" s="76" t="e">
        <v>#VALUE!</v>
      </c>
      <c r="AV65" s="76" t="e">
        <v>#VALUE!</v>
      </c>
      <c r="AW65" s="73" t="e">
        <f t="shared" si="65"/>
        <v>#REF!</v>
      </c>
      <c r="AX65" s="31" t="e">
        <f t="shared" si="52"/>
        <v>#VALUE!</v>
      </c>
      <c r="AY65" s="76" t="e">
        <v>#VALUE!</v>
      </c>
      <c r="AZ65" s="76" t="e">
        <v>#VALUE!</v>
      </c>
      <c r="BA65" s="76" t="e">
        <v>#VALUE!</v>
      </c>
      <c r="BB65" s="76" t="e">
        <v>#VALUE!</v>
      </c>
      <c r="BD65" s="31" t="e">
        <f t="shared" si="53"/>
        <v>#VALUE!</v>
      </c>
      <c r="BE65" s="76" t="e">
        <v>#VALUE!</v>
      </c>
      <c r="BF65" s="76" t="e">
        <v>#VALUE!</v>
      </c>
      <c r="BG65" s="76" t="e">
        <v>#VALUE!</v>
      </c>
      <c r="BH65" s="76" t="e">
        <v>#VALUE!</v>
      </c>
      <c r="BJ65" s="31" t="e">
        <f t="shared" si="54"/>
        <v>#VALUE!</v>
      </c>
      <c r="BK65" s="76" t="e">
        <v>#VALUE!</v>
      </c>
      <c r="BL65" s="76" t="e">
        <v>#VALUE!</v>
      </c>
      <c r="BM65" s="76" t="e">
        <v>#VALUE!</v>
      </c>
      <c r="BN65" s="76" t="e">
        <v>#VALUE!</v>
      </c>
      <c r="BO65" s="76"/>
      <c r="BP65" s="31" t="e">
        <f t="shared" si="55"/>
        <v>#VALUE!</v>
      </c>
      <c r="BQ65" s="76" t="e">
        <v>#VALUE!</v>
      </c>
      <c r="BR65" s="76" t="e">
        <v>#VALUE!</v>
      </c>
      <c r="BS65" s="76" t="e">
        <v>#VALUE!</v>
      </c>
      <c r="BT65" s="76" t="e">
        <v>#VALUE!</v>
      </c>
      <c r="BU65" s="73" t="e">
        <f t="shared" si="66"/>
        <v>#REF!</v>
      </c>
      <c r="BV65" s="31" t="e">
        <f t="shared" si="56"/>
        <v>#VALUE!</v>
      </c>
      <c r="BW65" s="76" t="e">
        <v>#VALUE!</v>
      </c>
      <c r="BX65" s="76" t="e">
        <v>#VALUE!</v>
      </c>
      <c r="BY65" s="76" t="e">
        <v>#VALUE!</v>
      </c>
      <c r="BZ65" s="76" t="e">
        <v>#VALUE!</v>
      </c>
      <c r="CB65" s="31" t="e">
        <f t="shared" si="57"/>
        <v>#VALUE!</v>
      </c>
      <c r="CC65" s="76" t="e">
        <v>#VALUE!</v>
      </c>
      <c r="CD65" s="76" t="e">
        <v>#VALUE!</v>
      </c>
      <c r="CE65" s="76" t="e">
        <v>#VALUE!</v>
      </c>
      <c r="CF65" s="76" t="e">
        <v>#VALUE!</v>
      </c>
      <c r="CH65" s="31" t="e">
        <f t="shared" si="58"/>
        <v>#VALUE!</v>
      </c>
      <c r="CI65" s="76" t="e">
        <v>#VALUE!</v>
      </c>
      <c r="CJ65" s="76" t="e">
        <v>#VALUE!</v>
      </c>
      <c r="CK65" s="76" t="e">
        <v>#VALUE!</v>
      </c>
      <c r="CL65" s="76" t="e">
        <v>#VALUE!</v>
      </c>
      <c r="CM65" s="76"/>
      <c r="CN65" s="31" t="e">
        <f t="shared" si="59"/>
        <v>#VALUE!</v>
      </c>
      <c r="CO65" s="76" t="e">
        <v>#VALUE!</v>
      </c>
      <c r="CP65" s="76" t="e">
        <v>#VALUE!</v>
      </c>
      <c r="CQ65" s="76" t="e">
        <v>#VALUE!</v>
      </c>
      <c r="CR65" s="76" t="e">
        <v>#VALUE!</v>
      </c>
      <c r="CS65" s="73" t="e">
        <f t="shared" si="67"/>
        <v>#REF!</v>
      </c>
      <c r="CT65" s="31" t="e">
        <f t="shared" si="60"/>
        <v>#VALUE!</v>
      </c>
      <c r="CU65" s="76" t="e">
        <v>#VALUE!</v>
      </c>
      <c r="CV65" s="76" t="e">
        <v>#VALUE!</v>
      </c>
      <c r="CW65" s="76" t="e">
        <v>#VALUE!</v>
      </c>
      <c r="CX65" s="76" t="e">
        <v>#VALUE!</v>
      </c>
      <c r="CZ65" s="31" t="e">
        <f t="shared" si="61"/>
        <v>#VALUE!</v>
      </c>
      <c r="DA65" s="76" t="e">
        <v>#VALUE!</v>
      </c>
      <c r="DB65" s="76" t="e">
        <v>#VALUE!</v>
      </c>
      <c r="DC65" s="76" t="e">
        <v>#VALUE!</v>
      </c>
      <c r="DD65" s="76" t="e">
        <v>#VALUE!</v>
      </c>
      <c r="DF65" s="31" t="e">
        <f t="shared" si="62"/>
        <v>#VALUE!</v>
      </c>
      <c r="DG65" s="76" t="e">
        <v>#VALUE!</v>
      </c>
      <c r="DH65" s="76" t="e">
        <v>#VALUE!</v>
      </c>
      <c r="DI65" s="76" t="e">
        <v>#VALUE!</v>
      </c>
      <c r="DJ65" s="76" t="e">
        <v>#VALUE!</v>
      </c>
      <c r="DK65" s="76"/>
      <c r="DL65" s="31" t="e">
        <f t="shared" si="63"/>
        <v>#VALUE!</v>
      </c>
      <c r="DM65" s="76" t="e">
        <v>#VALUE!</v>
      </c>
      <c r="DN65" s="76" t="e">
        <v>#VALUE!</v>
      </c>
      <c r="DO65" s="76" t="e">
        <v>#VALUE!</v>
      </c>
      <c r="DP65" s="76" t="e">
        <v>#VALUE!</v>
      </c>
    </row>
    <row r="66" spans="1:120">
      <c r="A66" s="73" t="e">
        <f>name!#REF!</f>
        <v>#REF!</v>
      </c>
      <c r="B66" s="31" t="e">
        <f t="shared" si="44"/>
        <v>#VALUE!</v>
      </c>
      <c r="C66" s="76" t="e">
        <v>#VALUE!</v>
      </c>
      <c r="D66" s="76" t="e">
        <v>#VALUE!</v>
      </c>
      <c r="E66" s="76" t="e">
        <v>#VALUE!</v>
      </c>
      <c r="F66" s="76" t="e">
        <v>#VALUE!</v>
      </c>
      <c r="H66" s="31" t="e">
        <f t="shared" si="45"/>
        <v>#VALUE!</v>
      </c>
      <c r="I66" s="76" t="e">
        <v>#VALUE!</v>
      </c>
      <c r="J66" s="76" t="e">
        <v>#VALUE!</v>
      </c>
      <c r="K66" s="76" t="e">
        <v>#VALUE!</v>
      </c>
      <c r="L66" s="76" t="e">
        <v>#VALUE!</v>
      </c>
      <c r="N66" s="31" t="e">
        <f t="shared" si="46"/>
        <v>#VALUE!</v>
      </c>
      <c r="O66" s="76" t="e">
        <v>#VALUE!</v>
      </c>
      <c r="P66" s="76" t="e">
        <v>#VALUE!</v>
      </c>
      <c r="Q66" s="76" t="e">
        <v>#VALUE!</v>
      </c>
      <c r="R66" s="76" t="e">
        <v>#VALUE!</v>
      </c>
      <c r="S66" s="76"/>
      <c r="T66" s="31" t="e">
        <f t="shared" si="47"/>
        <v>#VALUE!</v>
      </c>
      <c r="U66" s="76" t="e">
        <v>#VALUE!</v>
      </c>
      <c r="V66" s="76" t="e">
        <v>#VALUE!</v>
      </c>
      <c r="W66" s="76" t="e">
        <v>#VALUE!</v>
      </c>
      <c r="X66" s="76" t="e">
        <v>#VALUE!</v>
      </c>
      <c r="Y66" s="73" t="e">
        <f t="shared" si="64"/>
        <v>#REF!</v>
      </c>
      <c r="Z66" s="31" t="e">
        <f t="shared" si="48"/>
        <v>#VALUE!</v>
      </c>
      <c r="AA66" s="76" t="e">
        <v>#VALUE!</v>
      </c>
      <c r="AB66" s="76" t="e">
        <v>#VALUE!</v>
      </c>
      <c r="AC66" s="76" t="e">
        <v>#VALUE!</v>
      </c>
      <c r="AD66" s="76" t="e">
        <v>#VALUE!</v>
      </c>
      <c r="AF66" s="31" t="e">
        <f t="shared" si="49"/>
        <v>#VALUE!</v>
      </c>
      <c r="AG66" s="76" t="e">
        <v>#VALUE!</v>
      </c>
      <c r="AH66" s="76" t="e">
        <v>#VALUE!</v>
      </c>
      <c r="AI66" s="76" t="e">
        <v>#VALUE!</v>
      </c>
      <c r="AJ66" s="76" t="e">
        <v>#VALUE!</v>
      </c>
      <c r="AL66" s="31" t="e">
        <f t="shared" si="50"/>
        <v>#VALUE!</v>
      </c>
      <c r="AM66" s="76" t="e">
        <v>#VALUE!</v>
      </c>
      <c r="AN66" s="76" t="e">
        <v>#VALUE!</v>
      </c>
      <c r="AO66" s="76" t="e">
        <v>#VALUE!</v>
      </c>
      <c r="AP66" s="76" t="e">
        <v>#VALUE!</v>
      </c>
      <c r="AQ66" s="76"/>
      <c r="AR66" s="31" t="e">
        <f t="shared" si="51"/>
        <v>#VALUE!</v>
      </c>
      <c r="AS66" s="76" t="e">
        <v>#VALUE!</v>
      </c>
      <c r="AT66" s="76" t="e">
        <v>#VALUE!</v>
      </c>
      <c r="AU66" s="76" t="e">
        <v>#VALUE!</v>
      </c>
      <c r="AV66" s="76" t="e">
        <v>#VALUE!</v>
      </c>
      <c r="AW66" s="73" t="e">
        <f t="shared" si="65"/>
        <v>#REF!</v>
      </c>
      <c r="AX66" s="31" t="e">
        <f t="shared" si="52"/>
        <v>#VALUE!</v>
      </c>
      <c r="AY66" s="76" t="e">
        <v>#VALUE!</v>
      </c>
      <c r="AZ66" s="76" t="e">
        <v>#VALUE!</v>
      </c>
      <c r="BA66" s="76" t="e">
        <v>#VALUE!</v>
      </c>
      <c r="BB66" s="76" t="e">
        <v>#VALUE!</v>
      </c>
      <c r="BD66" s="31" t="e">
        <f t="shared" si="53"/>
        <v>#VALUE!</v>
      </c>
      <c r="BE66" s="76" t="e">
        <v>#VALUE!</v>
      </c>
      <c r="BF66" s="76" t="e">
        <v>#VALUE!</v>
      </c>
      <c r="BG66" s="76" t="e">
        <v>#VALUE!</v>
      </c>
      <c r="BH66" s="76" t="e">
        <v>#VALUE!</v>
      </c>
      <c r="BJ66" s="31" t="e">
        <f t="shared" si="54"/>
        <v>#VALUE!</v>
      </c>
      <c r="BK66" s="76" t="e">
        <v>#VALUE!</v>
      </c>
      <c r="BL66" s="76" t="e">
        <v>#VALUE!</v>
      </c>
      <c r="BM66" s="76" t="e">
        <v>#VALUE!</v>
      </c>
      <c r="BN66" s="76" t="e">
        <v>#VALUE!</v>
      </c>
      <c r="BO66" s="76"/>
      <c r="BP66" s="31" t="e">
        <f t="shared" si="55"/>
        <v>#VALUE!</v>
      </c>
      <c r="BQ66" s="76" t="e">
        <v>#VALUE!</v>
      </c>
      <c r="BR66" s="76" t="e">
        <v>#VALUE!</v>
      </c>
      <c r="BS66" s="76" t="e">
        <v>#VALUE!</v>
      </c>
      <c r="BT66" s="76" t="e">
        <v>#VALUE!</v>
      </c>
      <c r="BU66" s="73" t="e">
        <f t="shared" si="66"/>
        <v>#REF!</v>
      </c>
      <c r="BV66" s="31" t="e">
        <f t="shared" si="56"/>
        <v>#VALUE!</v>
      </c>
      <c r="BW66" s="76" t="e">
        <v>#VALUE!</v>
      </c>
      <c r="BX66" s="76" t="e">
        <v>#VALUE!</v>
      </c>
      <c r="BY66" s="76" t="e">
        <v>#VALUE!</v>
      </c>
      <c r="BZ66" s="76" t="e">
        <v>#VALUE!</v>
      </c>
      <c r="CB66" s="31" t="e">
        <f t="shared" si="57"/>
        <v>#VALUE!</v>
      </c>
      <c r="CC66" s="76" t="e">
        <v>#VALUE!</v>
      </c>
      <c r="CD66" s="76" t="e">
        <v>#VALUE!</v>
      </c>
      <c r="CE66" s="76" t="e">
        <v>#VALUE!</v>
      </c>
      <c r="CF66" s="76" t="e">
        <v>#VALUE!</v>
      </c>
      <c r="CH66" s="31" t="e">
        <f t="shared" si="58"/>
        <v>#VALUE!</v>
      </c>
      <c r="CI66" s="76" t="e">
        <v>#VALUE!</v>
      </c>
      <c r="CJ66" s="76" t="e">
        <v>#VALUE!</v>
      </c>
      <c r="CK66" s="76" t="e">
        <v>#VALUE!</v>
      </c>
      <c r="CL66" s="76" t="e">
        <v>#VALUE!</v>
      </c>
      <c r="CM66" s="76"/>
      <c r="CN66" s="31" t="e">
        <f t="shared" si="59"/>
        <v>#VALUE!</v>
      </c>
      <c r="CO66" s="76" t="e">
        <v>#VALUE!</v>
      </c>
      <c r="CP66" s="76" t="e">
        <v>#VALUE!</v>
      </c>
      <c r="CQ66" s="76" t="e">
        <v>#VALUE!</v>
      </c>
      <c r="CR66" s="76" t="e">
        <v>#VALUE!</v>
      </c>
      <c r="CS66" s="73" t="e">
        <f t="shared" si="67"/>
        <v>#REF!</v>
      </c>
      <c r="CT66" s="31" t="e">
        <f t="shared" si="60"/>
        <v>#VALUE!</v>
      </c>
      <c r="CU66" s="76" t="e">
        <v>#VALUE!</v>
      </c>
      <c r="CV66" s="76" t="e">
        <v>#VALUE!</v>
      </c>
      <c r="CW66" s="76" t="e">
        <v>#VALUE!</v>
      </c>
      <c r="CX66" s="76" t="e">
        <v>#VALUE!</v>
      </c>
      <c r="CZ66" s="31" t="e">
        <f t="shared" si="61"/>
        <v>#VALUE!</v>
      </c>
      <c r="DA66" s="76" t="e">
        <v>#VALUE!</v>
      </c>
      <c r="DB66" s="76" t="e">
        <v>#VALUE!</v>
      </c>
      <c r="DC66" s="76" t="e">
        <v>#VALUE!</v>
      </c>
      <c r="DD66" s="76" t="e">
        <v>#VALUE!</v>
      </c>
      <c r="DF66" s="31" t="e">
        <f t="shared" si="62"/>
        <v>#VALUE!</v>
      </c>
      <c r="DG66" s="76" t="e">
        <v>#VALUE!</v>
      </c>
      <c r="DH66" s="76" t="e">
        <v>#VALUE!</v>
      </c>
      <c r="DI66" s="76" t="e">
        <v>#VALUE!</v>
      </c>
      <c r="DJ66" s="76" t="e">
        <v>#VALUE!</v>
      </c>
      <c r="DK66" s="76"/>
      <c r="DL66" s="31" t="e">
        <f t="shared" si="63"/>
        <v>#VALUE!</v>
      </c>
      <c r="DM66" s="76" t="e">
        <v>#VALUE!</v>
      </c>
      <c r="DN66" s="76" t="e">
        <v>#VALUE!</v>
      </c>
      <c r="DO66" s="76" t="e">
        <v>#VALUE!</v>
      </c>
      <c r="DP66" s="76" t="e">
        <v>#VALUE!</v>
      </c>
    </row>
    <row r="67" spans="1:120">
      <c r="A67" s="73" t="e">
        <f>name!#REF!</f>
        <v>#REF!</v>
      </c>
      <c r="B67" s="31" t="e">
        <f t="shared" si="44"/>
        <v>#VALUE!</v>
      </c>
      <c r="C67" s="76" t="e">
        <v>#VALUE!</v>
      </c>
      <c r="D67" s="76" t="e">
        <v>#VALUE!</v>
      </c>
      <c r="E67" s="76" t="e">
        <v>#VALUE!</v>
      </c>
      <c r="F67" s="76" t="e">
        <v>#VALUE!</v>
      </c>
      <c r="H67" s="31" t="e">
        <f t="shared" si="45"/>
        <v>#VALUE!</v>
      </c>
      <c r="I67" s="76" t="e">
        <v>#VALUE!</v>
      </c>
      <c r="J67" s="76" t="e">
        <v>#VALUE!</v>
      </c>
      <c r="K67" s="76" t="e">
        <v>#VALUE!</v>
      </c>
      <c r="L67" s="76" t="e">
        <v>#VALUE!</v>
      </c>
      <c r="N67" s="31" t="e">
        <f t="shared" si="46"/>
        <v>#VALUE!</v>
      </c>
      <c r="O67" s="76" t="e">
        <v>#VALUE!</v>
      </c>
      <c r="P67" s="76" t="e">
        <v>#VALUE!</v>
      </c>
      <c r="Q67" s="76" t="e">
        <v>#VALUE!</v>
      </c>
      <c r="R67" s="76" t="e">
        <v>#VALUE!</v>
      </c>
      <c r="S67" s="76"/>
      <c r="T67" s="31" t="e">
        <f t="shared" si="47"/>
        <v>#VALUE!</v>
      </c>
      <c r="U67" s="76" t="e">
        <v>#VALUE!</v>
      </c>
      <c r="V67" s="76" t="e">
        <v>#VALUE!</v>
      </c>
      <c r="W67" s="76" t="e">
        <v>#VALUE!</v>
      </c>
      <c r="X67" s="76" t="e">
        <v>#VALUE!</v>
      </c>
      <c r="Y67" s="73" t="e">
        <f t="shared" si="64"/>
        <v>#REF!</v>
      </c>
      <c r="Z67" s="31" t="e">
        <f t="shared" si="48"/>
        <v>#VALUE!</v>
      </c>
      <c r="AA67" s="76" t="e">
        <v>#VALUE!</v>
      </c>
      <c r="AB67" s="76" t="e">
        <v>#VALUE!</v>
      </c>
      <c r="AC67" s="76" t="e">
        <v>#VALUE!</v>
      </c>
      <c r="AD67" s="76" t="e">
        <v>#VALUE!</v>
      </c>
      <c r="AF67" s="31" t="e">
        <f t="shared" si="49"/>
        <v>#VALUE!</v>
      </c>
      <c r="AG67" s="76" t="e">
        <v>#VALUE!</v>
      </c>
      <c r="AH67" s="76" t="e">
        <v>#VALUE!</v>
      </c>
      <c r="AI67" s="76" t="e">
        <v>#VALUE!</v>
      </c>
      <c r="AJ67" s="76" t="e">
        <v>#VALUE!</v>
      </c>
      <c r="AL67" s="31" t="e">
        <f t="shared" si="50"/>
        <v>#VALUE!</v>
      </c>
      <c r="AM67" s="76" t="e">
        <v>#VALUE!</v>
      </c>
      <c r="AN67" s="76" t="e">
        <v>#VALUE!</v>
      </c>
      <c r="AO67" s="76" t="e">
        <v>#VALUE!</v>
      </c>
      <c r="AP67" s="76" t="e">
        <v>#VALUE!</v>
      </c>
      <c r="AQ67" s="76"/>
      <c r="AR67" s="31" t="e">
        <f t="shared" si="51"/>
        <v>#VALUE!</v>
      </c>
      <c r="AS67" s="76" t="e">
        <v>#VALUE!</v>
      </c>
      <c r="AT67" s="76" t="e">
        <v>#VALUE!</v>
      </c>
      <c r="AU67" s="76" t="e">
        <v>#VALUE!</v>
      </c>
      <c r="AV67" s="76" t="e">
        <v>#VALUE!</v>
      </c>
      <c r="AW67" s="73" t="e">
        <f t="shared" si="65"/>
        <v>#REF!</v>
      </c>
      <c r="AX67" s="31" t="e">
        <f t="shared" si="52"/>
        <v>#VALUE!</v>
      </c>
      <c r="AY67" s="76" t="e">
        <v>#VALUE!</v>
      </c>
      <c r="AZ67" s="76" t="e">
        <v>#VALUE!</v>
      </c>
      <c r="BA67" s="76" t="e">
        <v>#VALUE!</v>
      </c>
      <c r="BB67" s="76" t="e">
        <v>#VALUE!</v>
      </c>
      <c r="BD67" s="31" t="e">
        <f t="shared" si="53"/>
        <v>#VALUE!</v>
      </c>
      <c r="BE67" s="76" t="e">
        <v>#VALUE!</v>
      </c>
      <c r="BF67" s="76" t="e">
        <v>#VALUE!</v>
      </c>
      <c r="BG67" s="76" t="e">
        <v>#VALUE!</v>
      </c>
      <c r="BH67" s="76" t="e">
        <v>#VALUE!</v>
      </c>
      <c r="BJ67" s="31" t="e">
        <f t="shared" si="54"/>
        <v>#VALUE!</v>
      </c>
      <c r="BK67" s="76" t="e">
        <v>#VALUE!</v>
      </c>
      <c r="BL67" s="76" t="e">
        <v>#VALUE!</v>
      </c>
      <c r="BM67" s="76" t="e">
        <v>#VALUE!</v>
      </c>
      <c r="BN67" s="76" t="e">
        <v>#VALUE!</v>
      </c>
      <c r="BO67" s="76"/>
      <c r="BP67" s="31" t="e">
        <f t="shared" si="55"/>
        <v>#VALUE!</v>
      </c>
      <c r="BQ67" s="76" t="e">
        <v>#VALUE!</v>
      </c>
      <c r="BR67" s="76" t="e">
        <v>#VALUE!</v>
      </c>
      <c r="BS67" s="76" t="e">
        <v>#VALUE!</v>
      </c>
      <c r="BT67" s="76" t="e">
        <v>#VALUE!</v>
      </c>
      <c r="BU67" s="73" t="e">
        <f t="shared" si="66"/>
        <v>#REF!</v>
      </c>
      <c r="BV67" s="31" t="e">
        <f t="shared" si="56"/>
        <v>#VALUE!</v>
      </c>
      <c r="BW67" s="76" t="e">
        <v>#VALUE!</v>
      </c>
      <c r="BX67" s="76" t="e">
        <v>#VALUE!</v>
      </c>
      <c r="BY67" s="76" t="e">
        <v>#VALUE!</v>
      </c>
      <c r="BZ67" s="76" t="e">
        <v>#VALUE!</v>
      </c>
      <c r="CB67" s="31" t="e">
        <f t="shared" si="57"/>
        <v>#VALUE!</v>
      </c>
      <c r="CC67" s="76" t="e">
        <v>#VALUE!</v>
      </c>
      <c r="CD67" s="76" t="e">
        <v>#VALUE!</v>
      </c>
      <c r="CE67" s="76" t="e">
        <v>#VALUE!</v>
      </c>
      <c r="CF67" s="76" t="e">
        <v>#VALUE!</v>
      </c>
      <c r="CH67" s="31" t="e">
        <f t="shared" si="58"/>
        <v>#VALUE!</v>
      </c>
      <c r="CI67" s="76" t="e">
        <v>#VALUE!</v>
      </c>
      <c r="CJ67" s="76" t="e">
        <v>#VALUE!</v>
      </c>
      <c r="CK67" s="76" t="e">
        <v>#VALUE!</v>
      </c>
      <c r="CL67" s="76" t="e">
        <v>#VALUE!</v>
      </c>
      <c r="CM67" s="76"/>
      <c r="CN67" s="31" t="e">
        <f t="shared" si="59"/>
        <v>#VALUE!</v>
      </c>
      <c r="CO67" s="76" t="e">
        <v>#VALUE!</v>
      </c>
      <c r="CP67" s="76" t="e">
        <v>#VALUE!</v>
      </c>
      <c r="CQ67" s="76" t="e">
        <v>#VALUE!</v>
      </c>
      <c r="CR67" s="76" t="e">
        <v>#VALUE!</v>
      </c>
      <c r="CS67" s="73" t="e">
        <f t="shared" si="67"/>
        <v>#REF!</v>
      </c>
      <c r="CT67" s="31" t="e">
        <f t="shared" si="60"/>
        <v>#VALUE!</v>
      </c>
      <c r="CU67" s="76" t="e">
        <v>#VALUE!</v>
      </c>
      <c r="CV67" s="76" t="e">
        <v>#VALUE!</v>
      </c>
      <c r="CW67" s="76" t="e">
        <v>#VALUE!</v>
      </c>
      <c r="CX67" s="76" t="e">
        <v>#VALUE!</v>
      </c>
      <c r="CZ67" s="31" t="e">
        <f t="shared" si="61"/>
        <v>#VALUE!</v>
      </c>
      <c r="DA67" s="76" t="e">
        <v>#VALUE!</v>
      </c>
      <c r="DB67" s="76" t="e">
        <v>#VALUE!</v>
      </c>
      <c r="DC67" s="76" t="e">
        <v>#VALUE!</v>
      </c>
      <c r="DD67" s="76" t="e">
        <v>#VALUE!</v>
      </c>
      <c r="DF67" s="31" t="e">
        <f t="shared" si="62"/>
        <v>#VALUE!</v>
      </c>
      <c r="DG67" s="76" t="e">
        <v>#VALUE!</v>
      </c>
      <c r="DH67" s="76" t="e">
        <v>#VALUE!</v>
      </c>
      <c r="DI67" s="76" t="e">
        <v>#VALUE!</v>
      </c>
      <c r="DJ67" s="76" t="e">
        <v>#VALUE!</v>
      </c>
      <c r="DK67" s="76"/>
      <c r="DL67" s="31" t="e">
        <f t="shared" si="63"/>
        <v>#VALUE!</v>
      </c>
      <c r="DM67" s="76" t="e">
        <v>#VALUE!</v>
      </c>
      <c r="DN67" s="76" t="e">
        <v>#VALUE!</v>
      </c>
      <c r="DO67" s="76" t="e">
        <v>#VALUE!</v>
      </c>
      <c r="DP67" s="76" t="e">
        <v>#VALUE!</v>
      </c>
    </row>
    <row r="68" spans="1:120">
      <c r="A68" s="73" t="e">
        <f>name!#REF!</f>
        <v>#REF!</v>
      </c>
      <c r="B68" s="31" t="e">
        <f t="shared" si="44"/>
        <v>#VALUE!</v>
      </c>
      <c r="C68" s="76" t="e">
        <v>#VALUE!</v>
      </c>
      <c r="D68" s="76" t="e">
        <v>#VALUE!</v>
      </c>
      <c r="E68" s="76" t="e">
        <v>#VALUE!</v>
      </c>
      <c r="F68" s="76" t="e">
        <v>#VALUE!</v>
      </c>
      <c r="H68" s="31" t="e">
        <f t="shared" si="45"/>
        <v>#VALUE!</v>
      </c>
      <c r="I68" s="76" t="e">
        <v>#VALUE!</v>
      </c>
      <c r="J68" s="76" t="e">
        <v>#VALUE!</v>
      </c>
      <c r="K68" s="76" t="e">
        <v>#VALUE!</v>
      </c>
      <c r="L68" s="76" t="e">
        <v>#VALUE!</v>
      </c>
      <c r="N68" s="31" t="e">
        <f t="shared" si="46"/>
        <v>#VALUE!</v>
      </c>
      <c r="O68" s="76" t="e">
        <v>#VALUE!</v>
      </c>
      <c r="P68" s="76" t="e">
        <v>#VALUE!</v>
      </c>
      <c r="Q68" s="76" t="e">
        <v>#VALUE!</v>
      </c>
      <c r="R68" s="76" t="e">
        <v>#VALUE!</v>
      </c>
      <c r="S68" s="76"/>
      <c r="T68" s="31" t="e">
        <f t="shared" si="47"/>
        <v>#VALUE!</v>
      </c>
      <c r="U68" s="76" t="e">
        <v>#VALUE!</v>
      </c>
      <c r="V68" s="76" t="e">
        <v>#VALUE!</v>
      </c>
      <c r="W68" s="76" t="e">
        <v>#VALUE!</v>
      </c>
      <c r="X68" s="76" t="e">
        <v>#VALUE!</v>
      </c>
      <c r="Y68" s="73" t="e">
        <f t="shared" si="64"/>
        <v>#REF!</v>
      </c>
      <c r="Z68" s="31" t="e">
        <f t="shared" si="48"/>
        <v>#VALUE!</v>
      </c>
      <c r="AA68" s="76" t="e">
        <v>#VALUE!</v>
      </c>
      <c r="AB68" s="76" t="e">
        <v>#VALUE!</v>
      </c>
      <c r="AC68" s="76" t="e">
        <v>#VALUE!</v>
      </c>
      <c r="AD68" s="76" t="e">
        <v>#VALUE!</v>
      </c>
      <c r="AF68" s="31" t="e">
        <f t="shared" si="49"/>
        <v>#VALUE!</v>
      </c>
      <c r="AG68" s="76" t="e">
        <v>#VALUE!</v>
      </c>
      <c r="AH68" s="76" t="e">
        <v>#VALUE!</v>
      </c>
      <c r="AI68" s="76" t="e">
        <v>#VALUE!</v>
      </c>
      <c r="AJ68" s="76" t="e">
        <v>#VALUE!</v>
      </c>
      <c r="AL68" s="31" t="e">
        <f t="shared" si="50"/>
        <v>#VALUE!</v>
      </c>
      <c r="AM68" s="76" t="e">
        <v>#VALUE!</v>
      </c>
      <c r="AN68" s="76" t="e">
        <v>#VALUE!</v>
      </c>
      <c r="AO68" s="76" t="e">
        <v>#VALUE!</v>
      </c>
      <c r="AP68" s="76" t="e">
        <v>#VALUE!</v>
      </c>
      <c r="AQ68" s="76"/>
      <c r="AR68" s="31" t="e">
        <f t="shared" si="51"/>
        <v>#VALUE!</v>
      </c>
      <c r="AS68" s="76" t="e">
        <v>#VALUE!</v>
      </c>
      <c r="AT68" s="76" t="e">
        <v>#VALUE!</v>
      </c>
      <c r="AU68" s="76" t="e">
        <v>#VALUE!</v>
      </c>
      <c r="AV68" s="76" t="e">
        <v>#VALUE!</v>
      </c>
      <c r="AW68" s="73" t="e">
        <f t="shared" si="65"/>
        <v>#REF!</v>
      </c>
      <c r="AX68" s="31" t="e">
        <f t="shared" si="52"/>
        <v>#VALUE!</v>
      </c>
      <c r="AY68" s="76" t="e">
        <v>#VALUE!</v>
      </c>
      <c r="AZ68" s="76" t="e">
        <v>#VALUE!</v>
      </c>
      <c r="BA68" s="76" t="e">
        <v>#VALUE!</v>
      </c>
      <c r="BB68" s="76" t="e">
        <v>#VALUE!</v>
      </c>
      <c r="BD68" s="31" t="e">
        <f t="shared" si="53"/>
        <v>#VALUE!</v>
      </c>
      <c r="BE68" s="76" t="e">
        <v>#VALUE!</v>
      </c>
      <c r="BF68" s="76" t="e">
        <v>#VALUE!</v>
      </c>
      <c r="BG68" s="76" t="e">
        <v>#VALUE!</v>
      </c>
      <c r="BH68" s="76" t="e">
        <v>#VALUE!</v>
      </c>
      <c r="BJ68" s="31" t="e">
        <f t="shared" si="54"/>
        <v>#VALUE!</v>
      </c>
      <c r="BK68" s="76" t="e">
        <v>#VALUE!</v>
      </c>
      <c r="BL68" s="76" t="e">
        <v>#VALUE!</v>
      </c>
      <c r="BM68" s="76" t="e">
        <v>#VALUE!</v>
      </c>
      <c r="BN68" s="76" t="e">
        <v>#VALUE!</v>
      </c>
      <c r="BO68" s="76"/>
      <c r="BP68" s="31" t="e">
        <f t="shared" si="55"/>
        <v>#VALUE!</v>
      </c>
      <c r="BQ68" s="76" t="e">
        <v>#VALUE!</v>
      </c>
      <c r="BR68" s="76" t="e">
        <v>#VALUE!</v>
      </c>
      <c r="BS68" s="76" t="e">
        <v>#VALUE!</v>
      </c>
      <c r="BT68" s="76" t="e">
        <v>#VALUE!</v>
      </c>
      <c r="BU68" s="73" t="e">
        <f t="shared" si="66"/>
        <v>#REF!</v>
      </c>
      <c r="BV68" s="31" t="e">
        <f t="shared" si="56"/>
        <v>#VALUE!</v>
      </c>
      <c r="BW68" s="76" t="e">
        <v>#VALUE!</v>
      </c>
      <c r="BX68" s="76" t="e">
        <v>#VALUE!</v>
      </c>
      <c r="BY68" s="76" t="e">
        <v>#VALUE!</v>
      </c>
      <c r="BZ68" s="76" t="e">
        <v>#VALUE!</v>
      </c>
      <c r="CB68" s="31" t="e">
        <f t="shared" si="57"/>
        <v>#VALUE!</v>
      </c>
      <c r="CC68" s="76" t="e">
        <v>#VALUE!</v>
      </c>
      <c r="CD68" s="76" t="e">
        <v>#VALUE!</v>
      </c>
      <c r="CE68" s="76" t="e">
        <v>#VALUE!</v>
      </c>
      <c r="CF68" s="76" t="e">
        <v>#VALUE!</v>
      </c>
      <c r="CH68" s="31" t="e">
        <f t="shared" si="58"/>
        <v>#VALUE!</v>
      </c>
      <c r="CI68" s="76" t="e">
        <v>#VALUE!</v>
      </c>
      <c r="CJ68" s="76" t="e">
        <v>#VALUE!</v>
      </c>
      <c r="CK68" s="76" t="e">
        <v>#VALUE!</v>
      </c>
      <c r="CL68" s="76" t="e">
        <v>#VALUE!</v>
      </c>
      <c r="CM68" s="76"/>
      <c r="CN68" s="31" t="e">
        <f t="shared" si="59"/>
        <v>#VALUE!</v>
      </c>
      <c r="CO68" s="76" t="e">
        <v>#VALUE!</v>
      </c>
      <c r="CP68" s="76" t="e">
        <v>#VALUE!</v>
      </c>
      <c r="CQ68" s="76" t="e">
        <v>#VALUE!</v>
      </c>
      <c r="CR68" s="76" t="e">
        <v>#VALUE!</v>
      </c>
      <c r="CS68" s="73" t="e">
        <f t="shared" si="67"/>
        <v>#REF!</v>
      </c>
      <c r="CT68" s="31" t="e">
        <f t="shared" si="60"/>
        <v>#VALUE!</v>
      </c>
      <c r="CU68" s="76" t="e">
        <v>#VALUE!</v>
      </c>
      <c r="CV68" s="76" t="e">
        <v>#VALUE!</v>
      </c>
      <c r="CW68" s="76" t="e">
        <v>#VALUE!</v>
      </c>
      <c r="CX68" s="76" t="e">
        <v>#VALUE!</v>
      </c>
      <c r="CZ68" s="31" t="e">
        <f t="shared" si="61"/>
        <v>#VALUE!</v>
      </c>
      <c r="DA68" s="76" t="e">
        <v>#VALUE!</v>
      </c>
      <c r="DB68" s="76" t="e">
        <v>#VALUE!</v>
      </c>
      <c r="DC68" s="76" t="e">
        <v>#VALUE!</v>
      </c>
      <c r="DD68" s="76" t="e">
        <v>#VALUE!</v>
      </c>
      <c r="DF68" s="31" t="e">
        <f t="shared" si="62"/>
        <v>#VALUE!</v>
      </c>
      <c r="DG68" s="76" t="e">
        <v>#VALUE!</v>
      </c>
      <c r="DH68" s="76" t="e">
        <v>#VALUE!</v>
      </c>
      <c r="DI68" s="76" t="e">
        <v>#VALUE!</v>
      </c>
      <c r="DJ68" s="76" t="e">
        <v>#VALUE!</v>
      </c>
      <c r="DK68" s="76"/>
      <c r="DL68" s="31" t="e">
        <f t="shared" si="63"/>
        <v>#VALUE!</v>
      </c>
      <c r="DM68" s="76" t="e">
        <v>#VALUE!</v>
      </c>
      <c r="DN68" s="76" t="e">
        <v>#VALUE!</v>
      </c>
      <c r="DO68" s="76" t="e">
        <v>#VALUE!</v>
      </c>
      <c r="DP68" s="76" t="e">
        <v>#VALUE!</v>
      </c>
    </row>
    <row r="69" spans="1:120">
      <c r="A69" s="73" t="e">
        <f>name!#REF!</f>
        <v>#REF!</v>
      </c>
      <c r="B69" s="31" t="e">
        <f t="shared" si="44"/>
        <v>#VALUE!</v>
      </c>
      <c r="C69" s="76" t="e">
        <v>#VALUE!</v>
      </c>
      <c r="D69" s="76" t="e">
        <v>#VALUE!</v>
      </c>
      <c r="E69" s="76" t="e">
        <v>#VALUE!</v>
      </c>
      <c r="F69" s="76" t="e">
        <v>#VALUE!</v>
      </c>
      <c r="H69" s="31" t="e">
        <f t="shared" si="45"/>
        <v>#VALUE!</v>
      </c>
      <c r="I69" s="76" t="e">
        <v>#VALUE!</v>
      </c>
      <c r="J69" s="76" t="e">
        <v>#VALUE!</v>
      </c>
      <c r="K69" s="76" t="e">
        <v>#VALUE!</v>
      </c>
      <c r="L69" s="76" t="e">
        <v>#VALUE!</v>
      </c>
      <c r="N69" s="31" t="e">
        <f t="shared" si="46"/>
        <v>#VALUE!</v>
      </c>
      <c r="O69" s="76" t="e">
        <v>#VALUE!</v>
      </c>
      <c r="P69" s="76" t="e">
        <v>#VALUE!</v>
      </c>
      <c r="Q69" s="76" t="e">
        <v>#VALUE!</v>
      </c>
      <c r="R69" s="76" t="e">
        <v>#VALUE!</v>
      </c>
      <c r="S69" s="76"/>
      <c r="T69" s="31" t="e">
        <f t="shared" si="47"/>
        <v>#VALUE!</v>
      </c>
      <c r="U69" s="76" t="e">
        <v>#VALUE!</v>
      </c>
      <c r="V69" s="76" t="e">
        <v>#VALUE!</v>
      </c>
      <c r="W69" s="76" t="e">
        <v>#VALUE!</v>
      </c>
      <c r="X69" s="76" t="e">
        <v>#VALUE!</v>
      </c>
      <c r="Y69" s="73" t="e">
        <f t="shared" si="64"/>
        <v>#REF!</v>
      </c>
      <c r="Z69" s="31" t="e">
        <f t="shared" si="48"/>
        <v>#VALUE!</v>
      </c>
      <c r="AA69" s="76" t="e">
        <v>#VALUE!</v>
      </c>
      <c r="AB69" s="76" t="e">
        <v>#VALUE!</v>
      </c>
      <c r="AC69" s="76" t="e">
        <v>#VALUE!</v>
      </c>
      <c r="AD69" s="76" t="e">
        <v>#VALUE!</v>
      </c>
      <c r="AF69" s="31" t="e">
        <f t="shared" si="49"/>
        <v>#VALUE!</v>
      </c>
      <c r="AG69" s="76" t="e">
        <v>#VALUE!</v>
      </c>
      <c r="AH69" s="76" t="e">
        <v>#VALUE!</v>
      </c>
      <c r="AI69" s="76" t="e">
        <v>#VALUE!</v>
      </c>
      <c r="AJ69" s="76" t="e">
        <v>#VALUE!</v>
      </c>
      <c r="AL69" s="31" t="e">
        <f t="shared" si="50"/>
        <v>#VALUE!</v>
      </c>
      <c r="AM69" s="76" t="e">
        <v>#VALUE!</v>
      </c>
      <c r="AN69" s="76" t="e">
        <v>#VALUE!</v>
      </c>
      <c r="AO69" s="76" t="e">
        <v>#VALUE!</v>
      </c>
      <c r="AP69" s="76" t="e">
        <v>#VALUE!</v>
      </c>
      <c r="AQ69" s="76"/>
      <c r="AR69" s="31" t="e">
        <f t="shared" si="51"/>
        <v>#VALUE!</v>
      </c>
      <c r="AS69" s="76" t="e">
        <v>#VALUE!</v>
      </c>
      <c r="AT69" s="76" t="e">
        <v>#VALUE!</v>
      </c>
      <c r="AU69" s="76" t="e">
        <v>#VALUE!</v>
      </c>
      <c r="AV69" s="76" t="e">
        <v>#VALUE!</v>
      </c>
      <c r="AW69" s="73" t="e">
        <f t="shared" si="65"/>
        <v>#REF!</v>
      </c>
      <c r="AX69" s="31" t="e">
        <f t="shared" si="52"/>
        <v>#VALUE!</v>
      </c>
      <c r="AY69" s="76" t="e">
        <v>#VALUE!</v>
      </c>
      <c r="AZ69" s="76" t="e">
        <v>#VALUE!</v>
      </c>
      <c r="BA69" s="76" t="e">
        <v>#VALUE!</v>
      </c>
      <c r="BB69" s="76" t="e">
        <v>#VALUE!</v>
      </c>
      <c r="BD69" s="31" t="e">
        <f t="shared" si="53"/>
        <v>#VALUE!</v>
      </c>
      <c r="BE69" s="76" t="e">
        <v>#VALUE!</v>
      </c>
      <c r="BF69" s="76" t="e">
        <v>#VALUE!</v>
      </c>
      <c r="BG69" s="76" t="e">
        <v>#VALUE!</v>
      </c>
      <c r="BH69" s="76" t="e">
        <v>#VALUE!</v>
      </c>
      <c r="BJ69" s="31" t="e">
        <f t="shared" si="54"/>
        <v>#VALUE!</v>
      </c>
      <c r="BK69" s="76" t="e">
        <v>#VALUE!</v>
      </c>
      <c r="BL69" s="76" t="e">
        <v>#VALUE!</v>
      </c>
      <c r="BM69" s="76" t="e">
        <v>#VALUE!</v>
      </c>
      <c r="BN69" s="76" t="e">
        <v>#VALUE!</v>
      </c>
      <c r="BO69" s="76"/>
      <c r="BP69" s="31" t="e">
        <f t="shared" si="55"/>
        <v>#VALUE!</v>
      </c>
      <c r="BQ69" s="76" t="e">
        <v>#VALUE!</v>
      </c>
      <c r="BR69" s="76" t="e">
        <v>#VALUE!</v>
      </c>
      <c r="BS69" s="76" t="e">
        <v>#VALUE!</v>
      </c>
      <c r="BT69" s="76" t="e">
        <v>#VALUE!</v>
      </c>
      <c r="BU69" s="73" t="e">
        <f t="shared" si="66"/>
        <v>#REF!</v>
      </c>
      <c r="BV69" s="31" t="e">
        <f t="shared" si="56"/>
        <v>#VALUE!</v>
      </c>
      <c r="BW69" s="76" t="e">
        <v>#VALUE!</v>
      </c>
      <c r="BX69" s="76" t="e">
        <v>#VALUE!</v>
      </c>
      <c r="BY69" s="76" t="e">
        <v>#VALUE!</v>
      </c>
      <c r="BZ69" s="76" t="e">
        <v>#VALUE!</v>
      </c>
      <c r="CB69" s="31" t="e">
        <f t="shared" si="57"/>
        <v>#VALUE!</v>
      </c>
      <c r="CC69" s="76" t="e">
        <v>#VALUE!</v>
      </c>
      <c r="CD69" s="76" t="e">
        <v>#VALUE!</v>
      </c>
      <c r="CE69" s="76" t="e">
        <v>#VALUE!</v>
      </c>
      <c r="CF69" s="76" t="e">
        <v>#VALUE!</v>
      </c>
      <c r="CH69" s="31" t="e">
        <f t="shared" si="58"/>
        <v>#VALUE!</v>
      </c>
      <c r="CI69" s="76" t="e">
        <v>#VALUE!</v>
      </c>
      <c r="CJ69" s="76" t="e">
        <v>#VALUE!</v>
      </c>
      <c r="CK69" s="76" t="e">
        <v>#VALUE!</v>
      </c>
      <c r="CL69" s="76" t="e">
        <v>#VALUE!</v>
      </c>
      <c r="CM69" s="76"/>
      <c r="CN69" s="31" t="e">
        <f t="shared" si="59"/>
        <v>#VALUE!</v>
      </c>
      <c r="CO69" s="76" t="e">
        <v>#VALUE!</v>
      </c>
      <c r="CP69" s="76" t="e">
        <v>#VALUE!</v>
      </c>
      <c r="CQ69" s="76" t="e">
        <v>#VALUE!</v>
      </c>
      <c r="CR69" s="76" t="e">
        <v>#VALUE!</v>
      </c>
      <c r="CS69" s="73" t="e">
        <f t="shared" si="67"/>
        <v>#REF!</v>
      </c>
      <c r="CT69" s="31" t="e">
        <f t="shared" si="60"/>
        <v>#VALUE!</v>
      </c>
      <c r="CU69" s="76" t="e">
        <v>#VALUE!</v>
      </c>
      <c r="CV69" s="76" t="e">
        <v>#VALUE!</v>
      </c>
      <c r="CW69" s="76" t="e">
        <v>#VALUE!</v>
      </c>
      <c r="CX69" s="76" t="e">
        <v>#VALUE!</v>
      </c>
      <c r="CZ69" s="31" t="e">
        <f t="shared" si="61"/>
        <v>#VALUE!</v>
      </c>
      <c r="DA69" s="76" t="e">
        <v>#VALUE!</v>
      </c>
      <c r="DB69" s="76" t="e">
        <v>#VALUE!</v>
      </c>
      <c r="DC69" s="76" t="e">
        <v>#VALUE!</v>
      </c>
      <c r="DD69" s="76" t="e">
        <v>#VALUE!</v>
      </c>
      <c r="DF69" s="31" t="e">
        <f t="shared" si="62"/>
        <v>#VALUE!</v>
      </c>
      <c r="DG69" s="76" t="e">
        <v>#VALUE!</v>
      </c>
      <c r="DH69" s="76" t="e">
        <v>#VALUE!</v>
      </c>
      <c r="DI69" s="76" t="e">
        <v>#VALUE!</v>
      </c>
      <c r="DJ69" s="76" t="e">
        <v>#VALUE!</v>
      </c>
      <c r="DK69" s="76"/>
      <c r="DL69" s="31" t="e">
        <f t="shared" si="63"/>
        <v>#VALUE!</v>
      </c>
      <c r="DM69" s="76" t="e">
        <v>#VALUE!</v>
      </c>
      <c r="DN69" s="76" t="e">
        <v>#VALUE!</v>
      </c>
      <c r="DO69" s="76" t="e">
        <v>#VALUE!</v>
      </c>
      <c r="DP69" s="76" t="e">
        <v>#VALUE!</v>
      </c>
    </row>
    <row r="70" spans="1:120">
      <c r="A70" s="73" t="e">
        <f>name!#REF!</f>
        <v>#REF!</v>
      </c>
      <c r="B70" s="31" t="e">
        <f t="shared" si="44"/>
        <v>#VALUE!</v>
      </c>
      <c r="C70" s="76" t="e">
        <v>#VALUE!</v>
      </c>
      <c r="D70" s="76" t="e">
        <v>#VALUE!</v>
      </c>
      <c r="E70" s="76" t="e">
        <v>#VALUE!</v>
      </c>
      <c r="F70" s="76" t="e">
        <v>#VALUE!</v>
      </c>
      <c r="H70" s="31" t="e">
        <f t="shared" si="45"/>
        <v>#VALUE!</v>
      </c>
      <c r="I70" s="76" t="e">
        <v>#VALUE!</v>
      </c>
      <c r="J70" s="76" t="e">
        <v>#VALUE!</v>
      </c>
      <c r="K70" s="76" t="e">
        <v>#VALUE!</v>
      </c>
      <c r="L70" s="76" t="e">
        <v>#VALUE!</v>
      </c>
      <c r="N70" s="31" t="e">
        <f t="shared" si="46"/>
        <v>#VALUE!</v>
      </c>
      <c r="O70" s="76" t="e">
        <v>#VALUE!</v>
      </c>
      <c r="P70" s="76" t="e">
        <v>#VALUE!</v>
      </c>
      <c r="Q70" s="76" t="e">
        <v>#VALUE!</v>
      </c>
      <c r="R70" s="76" t="e">
        <v>#VALUE!</v>
      </c>
      <c r="S70" s="76"/>
      <c r="T70" s="31" t="e">
        <f t="shared" si="47"/>
        <v>#VALUE!</v>
      </c>
      <c r="U70" s="76" t="e">
        <v>#VALUE!</v>
      </c>
      <c r="V70" s="76" t="e">
        <v>#VALUE!</v>
      </c>
      <c r="W70" s="76" t="e">
        <v>#VALUE!</v>
      </c>
      <c r="X70" s="76" t="e">
        <v>#VALUE!</v>
      </c>
      <c r="Y70" s="73" t="e">
        <f t="shared" si="64"/>
        <v>#REF!</v>
      </c>
      <c r="Z70" s="31" t="e">
        <f t="shared" si="48"/>
        <v>#VALUE!</v>
      </c>
      <c r="AA70" s="76" t="e">
        <v>#VALUE!</v>
      </c>
      <c r="AB70" s="76" t="e">
        <v>#VALUE!</v>
      </c>
      <c r="AC70" s="76" t="e">
        <v>#VALUE!</v>
      </c>
      <c r="AD70" s="76" t="e">
        <v>#VALUE!</v>
      </c>
      <c r="AF70" s="31" t="e">
        <f t="shared" si="49"/>
        <v>#VALUE!</v>
      </c>
      <c r="AG70" s="76" t="e">
        <v>#VALUE!</v>
      </c>
      <c r="AH70" s="76" t="e">
        <v>#VALUE!</v>
      </c>
      <c r="AI70" s="76" t="e">
        <v>#VALUE!</v>
      </c>
      <c r="AJ70" s="76" t="e">
        <v>#VALUE!</v>
      </c>
      <c r="AL70" s="31" t="e">
        <f t="shared" si="50"/>
        <v>#VALUE!</v>
      </c>
      <c r="AM70" s="76" t="e">
        <v>#VALUE!</v>
      </c>
      <c r="AN70" s="76" t="e">
        <v>#VALUE!</v>
      </c>
      <c r="AO70" s="76" t="e">
        <v>#VALUE!</v>
      </c>
      <c r="AP70" s="76" t="e">
        <v>#VALUE!</v>
      </c>
      <c r="AQ70" s="76"/>
      <c r="AR70" s="31" t="e">
        <f t="shared" si="51"/>
        <v>#VALUE!</v>
      </c>
      <c r="AS70" s="76" t="e">
        <v>#VALUE!</v>
      </c>
      <c r="AT70" s="76" t="e">
        <v>#VALUE!</v>
      </c>
      <c r="AU70" s="76" t="e">
        <v>#VALUE!</v>
      </c>
      <c r="AV70" s="76" t="e">
        <v>#VALUE!</v>
      </c>
      <c r="AW70" s="73" t="e">
        <f t="shared" si="65"/>
        <v>#REF!</v>
      </c>
      <c r="AX70" s="31" t="e">
        <f t="shared" si="52"/>
        <v>#VALUE!</v>
      </c>
      <c r="AY70" s="76" t="e">
        <v>#VALUE!</v>
      </c>
      <c r="AZ70" s="76" t="e">
        <v>#VALUE!</v>
      </c>
      <c r="BA70" s="76" t="e">
        <v>#VALUE!</v>
      </c>
      <c r="BB70" s="76" t="e">
        <v>#VALUE!</v>
      </c>
      <c r="BD70" s="31" t="e">
        <f t="shared" si="53"/>
        <v>#VALUE!</v>
      </c>
      <c r="BE70" s="76" t="e">
        <v>#VALUE!</v>
      </c>
      <c r="BF70" s="76" t="e">
        <v>#VALUE!</v>
      </c>
      <c r="BG70" s="76" t="e">
        <v>#VALUE!</v>
      </c>
      <c r="BH70" s="76" t="e">
        <v>#VALUE!</v>
      </c>
      <c r="BJ70" s="31" t="e">
        <f t="shared" si="54"/>
        <v>#VALUE!</v>
      </c>
      <c r="BK70" s="76" t="e">
        <v>#VALUE!</v>
      </c>
      <c r="BL70" s="76" t="e">
        <v>#VALUE!</v>
      </c>
      <c r="BM70" s="76" t="e">
        <v>#VALUE!</v>
      </c>
      <c r="BN70" s="76" t="e">
        <v>#VALUE!</v>
      </c>
      <c r="BO70" s="76"/>
      <c r="BP70" s="31" t="e">
        <f t="shared" si="55"/>
        <v>#VALUE!</v>
      </c>
      <c r="BQ70" s="76" t="e">
        <v>#VALUE!</v>
      </c>
      <c r="BR70" s="76" t="e">
        <v>#VALUE!</v>
      </c>
      <c r="BS70" s="76" t="e">
        <v>#VALUE!</v>
      </c>
      <c r="BT70" s="76" t="e">
        <v>#VALUE!</v>
      </c>
      <c r="BU70" s="73" t="e">
        <f t="shared" si="66"/>
        <v>#REF!</v>
      </c>
      <c r="BV70" s="31" t="e">
        <f t="shared" si="56"/>
        <v>#VALUE!</v>
      </c>
      <c r="BW70" s="76" t="e">
        <v>#VALUE!</v>
      </c>
      <c r="BX70" s="76" t="e">
        <v>#VALUE!</v>
      </c>
      <c r="BY70" s="76" t="e">
        <v>#VALUE!</v>
      </c>
      <c r="BZ70" s="76" t="e">
        <v>#VALUE!</v>
      </c>
      <c r="CB70" s="31" t="e">
        <f t="shared" si="57"/>
        <v>#VALUE!</v>
      </c>
      <c r="CC70" s="76" t="e">
        <v>#VALUE!</v>
      </c>
      <c r="CD70" s="76" t="e">
        <v>#VALUE!</v>
      </c>
      <c r="CE70" s="76" t="e">
        <v>#VALUE!</v>
      </c>
      <c r="CF70" s="76" t="e">
        <v>#VALUE!</v>
      </c>
      <c r="CH70" s="31" t="e">
        <f t="shared" si="58"/>
        <v>#VALUE!</v>
      </c>
      <c r="CI70" s="76" t="e">
        <v>#VALUE!</v>
      </c>
      <c r="CJ70" s="76" t="e">
        <v>#VALUE!</v>
      </c>
      <c r="CK70" s="76" t="e">
        <v>#VALUE!</v>
      </c>
      <c r="CL70" s="76" t="e">
        <v>#VALUE!</v>
      </c>
      <c r="CM70" s="76"/>
      <c r="CN70" s="31" t="e">
        <f t="shared" si="59"/>
        <v>#VALUE!</v>
      </c>
      <c r="CO70" s="76" t="e">
        <v>#VALUE!</v>
      </c>
      <c r="CP70" s="76" t="e">
        <v>#VALUE!</v>
      </c>
      <c r="CQ70" s="76" t="e">
        <v>#VALUE!</v>
      </c>
      <c r="CR70" s="76" t="e">
        <v>#VALUE!</v>
      </c>
      <c r="CS70" s="73" t="e">
        <f t="shared" si="67"/>
        <v>#REF!</v>
      </c>
      <c r="CT70" s="31" t="e">
        <f t="shared" si="60"/>
        <v>#VALUE!</v>
      </c>
      <c r="CU70" s="76" t="e">
        <v>#VALUE!</v>
      </c>
      <c r="CV70" s="76" t="e">
        <v>#VALUE!</v>
      </c>
      <c r="CW70" s="76" t="e">
        <v>#VALUE!</v>
      </c>
      <c r="CX70" s="76" t="e">
        <v>#VALUE!</v>
      </c>
      <c r="CZ70" s="31" t="e">
        <f t="shared" si="61"/>
        <v>#VALUE!</v>
      </c>
      <c r="DA70" s="76" t="e">
        <v>#VALUE!</v>
      </c>
      <c r="DB70" s="76" t="e">
        <v>#VALUE!</v>
      </c>
      <c r="DC70" s="76" t="e">
        <v>#VALUE!</v>
      </c>
      <c r="DD70" s="76" t="e">
        <v>#VALUE!</v>
      </c>
      <c r="DF70" s="31" t="e">
        <f t="shared" si="62"/>
        <v>#VALUE!</v>
      </c>
      <c r="DG70" s="76" t="e">
        <v>#VALUE!</v>
      </c>
      <c r="DH70" s="76" t="e">
        <v>#VALUE!</v>
      </c>
      <c r="DI70" s="76" t="e">
        <v>#VALUE!</v>
      </c>
      <c r="DJ70" s="76" t="e">
        <v>#VALUE!</v>
      </c>
      <c r="DK70" s="76"/>
      <c r="DL70" s="31" t="e">
        <f t="shared" si="63"/>
        <v>#VALUE!</v>
      </c>
      <c r="DM70" s="76" t="e">
        <v>#VALUE!</v>
      </c>
      <c r="DN70" s="76" t="e">
        <v>#VALUE!</v>
      </c>
      <c r="DO70" s="76" t="e">
        <v>#VALUE!</v>
      </c>
      <c r="DP70" s="76" t="e">
        <v>#VALUE!</v>
      </c>
    </row>
    <row r="71" spans="1:120">
      <c r="A71" s="73" t="e">
        <f>name!#REF!</f>
        <v>#REF!</v>
      </c>
      <c r="B71" s="31" t="e">
        <f t="shared" si="44"/>
        <v>#VALUE!</v>
      </c>
      <c r="C71" s="76" t="e">
        <v>#VALUE!</v>
      </c>
      <c r="D71" s="76" t="e">
        <v>#VALUE!</v>
      </c>
      <c r="E71" s="76" t="e">
        <v>#VALUE!</v>
      </c>
      <c r="F71" s="76" t="e">
        <v>#VALUE!</v>
      </c>
      <c r="H71" s="31" t="e">
        <f t="shared" si="45"/>
        <v>#VALUE!</v>
      </c>
      <c r="I71" s="76" t="e">
        <v>#VALUE!</v>
      </c>
      <c r="J71" s="76" t="e">
        <v>#VALUE!</v>
      </c>
      <c r="K71" s="76" t="e">
        <v>#VALUE!</v>
      </c>
      <c r="L71" s="76" t="e">
        <v>#VALUE!</v>
      </c>
      <c r="N71" s="31" t="e">
        <f t="shared" si="46"/>
        <v>#VALUE!</v>
      </c>
      <c r="O71" s="76" t="e">
        <v>#VALUE!</v>
      </c>
      <c r="P71" s="76" t="e">
        <v>#VALUE!</v>
      </c>
      <c r="Q71" s="76" t="e">
        <v>#VALUE!</v>
      </c>
      <c r="R71" s="76" t="e">
        <v>#VALUE!</v>
      </c>
      <c r="S71" s="76"/>
      <c r="T71" s="31" t="e">
        <f t="shared" si="47"/>
        <v>#VALUE!</v>
      </c>
      <c r="U71" s="76" t="e">
        <v>#VALUE!</v>
      </c>
      <c r="V71" s="76" t="e">
        <v>#VALUE!</v>
      </c>
      <c r="W71" s="76" t="e">
        <v>#VALUE!</v>
      </c>
      <c r="X71" s="76" t="e">
        <v>#VALUE!</v>
      </c>
      <c r="Y71" s="73" t="e">
        <f t="shared" si="64"/>
        <v>#REF!</v>
      </c>
      <c r="Z71" s="31" t="e">
        <f t="shared" si="48"/>
        <v>#VALUE!</v>
      </c>
      <c r="AA71" s="76" t="e">
        <v>#VALUE!</v>
      </c>
      <c r="AB71" s="76" t="e">
        <v>#VALUE!</v>
      </c>
      <c r="AC71" s="76" t="e">
        <v>#VALUE!</v>
      </c>
      <c r="AD71" s="76" t="e">
        <v>#VALUE!</v>
      </c>
      <c r="AF71" s="31" t="e">
        <f t="shared" si="49"/>
        <v>#VALUE!</v>
      </c>
      <c r="AG71" s="76" t="e">
        <v>#VALUE!</v>
      </c>
      <c r="AH71" s="76" t="e">
        <v>#VALUE!</v>
      </c>
      <c r="AI71" s="76" t="e">
        <v>#VALUE!</v>
      </c>
      <c r="AJ71" s="76" t="e">
        <v>#VALUE!</v>
      </c>
      <c r="AL71" s="31" t="e">
        <f t="shared" si="50"/>
        <v>#VALUE!</v>
      </c>
      <c r="AM71" s="76" t="e">
        <v>#VALUE!</v>
      </c>
      <c r="AN71" s="76" t="e">
        <v>#VALUE!</v>
      </c>
      <c r="AO71" s="76" t="e">
        <v>#VALUE!</v>
      </c>
      <c r="AP71" s="76" t="e">
        <v>#VALUE!</v>
      </c>
      <c r="AQ71" s="76"/>
      <c r="AR71" s="31" t="e">
        <f t="shared" si="51"/>
        <v>#VALUE!</v>
      </c>
      <c r="AS71" s="76" t="e">
        <v>#VALUE!</v>
      </c>
      <c r="AT71" s="76" t="e">
        <v>#VALUE!</v>
      </c>
      <c r="AU71" s="76" t="e">
        <v>#VALUE!</v>
      </c>
      <c r="AV71" s="76" t="e">
        <v>#VALUE!</v>
      </c>
      <c r="AW71" s="73" t="e">
        <f t="shared" si="65"/>
        <v>#REF!</v>
      </c>
      <c r="AX71" s="31" t="e">
        <f t="shared" si="52"/>
        <v>#VALUE!</v>
      </c>
      <c r="AY71" s="76" t="e">
        <v>#VALUE!</v>
      </c>
      <c r="AZ71" s="76" t="e">
        <v>#VALUE!</v>
      </c>
      <c r="BA71" s="76" t="e">
        <v>#VALUE!</v>
      </c>
      <c r="BB71" s="76" t="e">
        <v>#VALUE!</v>
      </c>
      <c r="BD71" s="31" t="e">
        <f t="shared" si="53"/>
        <v>#VALUE!</v>
      </c>
      <c r="BE71" s="76" t="e">
        <v>#VALUE!</v>
      </c>
      <c r="BF71" s="76" t="e">
        <v>#VALUE!</v>
      </c>
      <c r="BG71" s="76" t="e">
        <v>#VALUE!</v>
      </c>
      <c r="BH71" s="76" t="e">
        <v>#VALUE!</v>
      </c>
      <c r="BJ71" s="31" t="e">
        <f t="shared" si="54"/>
        <v>#VALUE!</v>
      </c>
      <c r="BK71" s="76" t="e">
        <v>#VALUE!</v>
      </c>
      <c r="BL71" s="76" t="e">
        <v>#VALUE!</v>
      </c>
      <c r="BM71" s="76" t="e">
        <v>#VALUE!</v>
      </c>
      <c r="BN71" s="76" t="e">
        <v>#VALUE!</v>
      </c>
      <c r="BO71" s="76"/>
      <c r="BP71" s="31" t="e">
        <f t="shared" si="55"/>
        <v>#VALUE!</v>
      </c>
      <c r="BQ71" s="76" t="e">
        <v>#VALUE!</v>
      </c>
      <c r="BR71" s="76" t="e">
        <v>#VALUE!</v>
      </c>
      <c r="BS71" s="76" t="e">
        <v>#VALUE!</v>
      </c>
      <c r="BT71" s="76" t="e">
        <v>#VALUE!</v>
      </c>
      <c r="BU71" s="73" t="e">
        <f t="shared" si="66"/>
        <v>#REF!</v>
      </c>
      <c r="BV71" s="31" t="e">
        <f t="shared" si="56"/>
        <v>#VALUE!</v>
      </c>
      <c r="BW71" s="76" t="e">
        <v>#VALUE!</v>
      </c>
      <c r="BX71" s="76" t="e">
        <v>#VALUE!</v>
      </c>
      <c r="BY71" s="76" t="e">
        <v>#VALUE!</v>
      </c>
      <c r="BZ71" s="76" t="e">
        <v>#VALUE!</v>
      </c>
      <c r="CB71" s="31" t="e">
        <f t="shared" si="57"/>
        <v>#VALUE!</v>
      </c>
      <c r="CC71" s="76" t="e">
        <v>#VALUE!</v>
      </c>
      <c r="CD71" s="76" t="e">
        <v>#VALUE!</v>
      </c>
      <c r="CE71" s="76" t="e">
        <v>#VALUE!</v>
      </c>
      <c r="CF71" s="76" t="e">
        <v>#VALUE!</v>
      </c>
      <c r="CH71" s="31" t="e">
        <f t="shared" si="58"/>
        <v>#VALUE!</v>
      </c>
      <c r="CI71" s="76" t="e">
        <v>#VALUE!</v>
      </c>
      <c r="CJ71" s="76" t="e">
        <v>#VALUE!</v>
      </c>
      <c r="CK71" s="76" t="e">
        <v>#VALUE!</v>
      </c>
      <c r="CL71" s="76" t="e">
        <v>#VALUE!</v>
      </c>
      <c r="CM71" s="76"/>
      <c r="CN71" s="31" t="e">
        <f t="shared" si="59"/>
        <v>#VALUE!</v>
      </c>
      <c r="CO71" s="76" t="e">
        <v>#VALUE!</v>
      </c>
      <c r="CP71" s="76" t="e">
        <v>#VALUE!</v>
      </c>
      <c r="CQ71" s="76" t="e">
        <v>#VALUE!</v>
      </c>
      <c r="CR71" s="76" t="e">
        <v>#VALUE!</v>
      </c>
      <c r="CS71" s="73" t="e">
        <f t="shared" si="67"/>
        <v>#REF!</v>
      </c>
      <c r="CT71" s="31" t="e">
        <f t="shared" si="60"/>
        <v>#VALUE!</v>
      </c>
      <c r="CU71" s="76" t="e">
        <v>#VALUE!</v>
      </c>
      <c r="CV71" s="76" t="e">
        <v>#VALUE!</v>
      </c>
      <c r="CW71" s="76" t="e">
        <v>#VALUE!</v>
      </c>
      <c r="CX71" s="76" t="e">
        <v>#VALUE!</v>
      </c>
      <c r="CZ71" s="31" t="e">
        <f t="shared" si="61"/>
        <v>#VALUE!</v>
      </c>
      <c r="DA71" s="76" t="e">
        <v>#VALUE!</v>
      </c>
      <c r="DB71" s="76" t="e">
        <v>#VALUE!</v>
      </c>
      <c r="DC71" s="76" t="e">
        <v>#VALUE!</v>
      </c>
      <c r="DD71" s="76" t="e">
        <v>#VALUE!</v>
      </c>
      <c r="DF71" s="31" t="e">
        <f t="shared" si="62"/>
        <v>#VALUE!</v>
      </c>
      <c r="DG71" s="76" t="e">
        <v>#VALUE!</v>
      </c>
      <c r="DH71" s="76" t="e">
        <v>#VALUE!</v>
      </c>
      <c r="DI71" s="76" t="e">
        <v>#VALUE!</v>
      </c>
      <c r="DJ71" s="76" t="e">
        <v>#VALUE!</v>
      </c>
      <c r="DK71" s="76"/>
      <c r="DL71" s="31" t="e">
        <f t="shared" si="63"/>
        <v>#VALUE!</v>
      </c>
      <c r="DM71" s="76" t="e">
        <v>#VALUE!</v>
      </c>
      <c r="DN71" s="76" t="e">
        <v>#VALUE!</v>
      </c>
      <c r="DO71" s="76" t="e">
        <v>#VALUE!</v>
      </c>
      <c r="DP71" s="76" t="e">
        <v>#VALUE!</v>
      </c>
    </row>
    <row r="72" spans="1:120">
      <c r="A72" s="73" t="e">
        <f>name!#REF!</f>
        <v>#REF!</v>
      </c>
      <c r="B72" s="31" t="e">
        <f t="shared" si="44"/>
        <v>#VALUE!</v>
      </c>
      <c r="C72" s="76" t="e">
        <v>#VALUE!</v>
      </c>
      <c r="D72" s="76" t="e">
        <v>#VALUE!</v>
      </c>
      <c r="E72" s="76" t="e">
        <v>#VALUE!</v>
      </c>
      <c r="F72" s="76" t="e">
        <v>#VALUE!</v>
      </c>
      <c r="H72" s="31" t="e">
        <f t="shared" si="45"/>
        <v>#VALUE!</v>
      </c>
      <c r="I72" s="76" t="e">
        <v>#VALUE!</v>
      </c>
      <c r="J72" s="76" t="e">
        <v>#VALUE!</v>
      </c>
      <c r="K72" s="76" t="e">
        <v>#VALUE!</v>
      </c>
      <c r="L72" s="76" t="e">
        <v>#VALUE!</v>
      </c>
      <c r="N72" s="31" t="e">
        <f t="shared" si="46"/>
        <v>#VALUE!</v>
      </c>
      <c r="O72" s="76" t="e">
        <v>#VALUE!</v>
      </c>
      <c r="P72" s="76" t="e">
        <v>#VALUE!</v>
      </c>
      <c r="Q72" s="76" t="e">
        <v>#VALUE!</v>
      </c>
      <c r="R72" s="76" t="e">
        <v>#VALUE!</v>
      </c>
      <c r="S72" s="76"/>
      <c r="T72" s="31" t="e">
        <f t="shared" si="47"/>
        <v>#VALUE!</v>
      </c>
      <c r="U72" s="76" t="e">
        <v>#VALUE!</v>
      </c>
      <c r="V72" s="76" t="e">
        <v>#VALUE!</v>
      </c>
      <c r="W72" s="76" t="e">
        <v>#VALUE!</v>
      </c>
      <c r="X72" s="76" t="e">
        <v>#VALUE!</v>
      </c>
      <c r="Y72" s="73" t="e">
        <f t="shared" si="64"/>
        <v>#REF!</v>
      </c>
      <c r="Z72" s="31" t="e">
        <f t="shared" si="48"/>
        <v>#VALUE!</v>
      </c>
      <c r="AA72" s="76" t="e">
        <v>#VALUE!</v>
      </c>
      <c r="AB72" s="76" t="e">
        <v>#VALUE!</v>
      </c>
      <c r="AC72" s="76" t="e">
        <v>#VALUE!</v>
      </c>
      <c r="AD72" s="76" t="e">
        <v>#VALUE!</v>
      </c>
      <c r="AF72" s="31" t="e">
        <f t="shared" si="49"/>
        <v>#VALUE!</v>
      </c>
      <c r="AG72" s="76" t="e">
        <v>#VALUE!</v>
      </c>
      <c r="AH72" s="76" t="e">
        <v>#VALUE!</v>
      </c>
      <c r="AI72" s="76" t="e">
        <v>#VALUE!</v>
      </c>
      <c r="AJ72" s="76" t="e">
        <v>#VALUE!</v>
      </c>
      <c r="AL72" s="31" t="e">
        <f t="shared" si="50"/>
        <v>#VALUE!</v>
      </c>
      <c r="AM72" s="76" t="e">
        <v>#VALUE!</v>
      </c>
      <c r="AN72" s="76" t="e">
        <v>#VALUE!</v>
      </c>
      <c r="AO72" s="76" t="e">
        <v>#VALUE!</v>
      </c>
      <c r="AP72" s="76" t="e">
        <v>#VALUE!</v>
      </c>
      <c r="AQ72" s="76"/>
      <c r="AR72" s="31" t="e">
        <f t="shared" si="51"/>
        <v>#VALUE!</v>
      </c>
      <c r="AS72" s="76" t="e">
        <v>#VALUE!</v>
      </c>
      <c r="AT72" s="76" t="e">
        <v>#VALUE!</v>
      </c>
      <c r="AU72" s="76" t="e">
        <v>#VALUE!</v>
      </c>
      <c r="AV72" s="76" t="e">
        <v>#VALUE!</v>
      </c>
      <c r="AW72" s="73" t="e">
        <f t="shared" si="65"/>
        <v>#REF!</v>
      </c>
      <c r="AX72" s="31" t="e">
        <f t="shared" si="52"/>
        <v>#VALUE!</v>
      </c>
      <c r="AY72" s="76" t="e">
        <v>#VALUE!</v>
      </c>
      <c r="AZ72" s="76" t="e">
        <v>#VALUE!</v>
      </c>
      <c r="BA72" s="76" t="e">
        <v>#VALUE!</v>
      </c>
      <c r="BB72" s="76" t="e">
        <v>#VALUE!</v>
      </c>
      <c r="BD72" s="31" t="e">
        <f t="shared" si="53"/>
        <v>#VALUE!</v>
      </c>
      <c r="BE72" s="76" t="e">
        <v>#VALUE!</v>
      </c>
      <c r="BF72" s="76" t="e">
        <v>#VALUE!</v>
      </c>
      <c r="BG72" s="76" t="e">
        <v>#VALUE!</v>
      </c>
      <c r="BH72" s="76" t="e">
        <v>#VALUE!</v>
      </c>
      <c r="BJ72" s="31" t="e">
        <f t="shared" si="54"/>
        <v>#VALUE!</v>
      </c>
      <c r="BK72" s="76" t="e">
        <v>#VALUE!</v>
      </c>
      <c r="BL72" s="76" t="e">
        <v>#VALUE!</v>
      </c>
      <c r="BM72" s="76" t="e">
        <v>#VALUE!</v>
      </c>
      <c r="BN72" s="76" t="e">
        <v>#VALUE!</v>
      </c>
      <c r="BO72" s="76"/>
      <c r="BP72" s="31" t="e">
        <f t="shared" si="55"/>
        <v>#VALUE!</v>
      </c>
      <c r="BQ72" s="76" t="e">
        <v>#VALUE!</v>
      </c>
      <c r="BR72" s="76" t="e">
        <v>#VALUE!</v>
      </c>
      <c r="BS72" s="76" t="e">
        <v>#VALUE!</v>
      </c>
      <c r="BT72" s="76" t="e">
        <v>#VALUE!</v>
      </c>
      <c r="BU72" s="73" t="e">
        <f t="shared" si="66"/>
        <v>#REF!</v>
      </c>
      <c r="BV72" s="31" t="e">
        <f t="shared" si="56"/>
        <v>#VALUE!</v>
      </c>
      <c r="BW72" s="76" t="e">
        <v>#VALUE!</v>
      </c>
      <c r="BX72" s="76" t="e">
        <v>#VALUE!</v>
      </c>
      <c r="BY72" s="76" t="e">
        <v>#VALUE!</v>
      </c>
      <c r="BZ72" s="76" t="e">
        <v>#VALUE!</v>
      </c>
      <c r="CB72" s="31" t="e">
        <f t="shared" si="57"/>
        <v>#VALUE!</v>
      </c>
      <c r="CC72" s="76" t="e">
        <v>#VALUE!</v>
      </c>
      <c r="CD72" s="76" t="e">
        <v>#VALUE!</v>
      </c>
      <c r="CE72" s="76" t="e">
        <v>#VALUE!</v>
      </c>
      <c r="CF72" s="76" t="e">
        <v>#VALUE!</v>
      </c>
      <c r="CH72" s="31" t="e">
        <f t="shared" si="58"/>
        <v>#VALUE!</v>
      </c>
      <c r="CI72" s="76" t="e">
        <v>#VALUE!</v>
      </c>
      <c r="CJ72" s="76" t="e">
        <v>#VALUE!</v>
      </c>
      <c r="CK72" s="76" t="e">
        <v>#VALUE!</v>
      </c>
      <c r="CL72" s="76" t="e">
        <v>#VALUE!</v>
      </c>
      <c r="CM72" s="76"/>
      <c r="CN72" s="31" t="e">
        <f t="shared" si="59"/>
        <v>#VALUE!</v>
      </c>
      <c r="CO72" s="76" t="e">
        <v>#VALUE!</v>
      </c>
      <c r="CP72" s="76" t="e">
        <v>#VALUE!</v>
      </c>
      <c r="CQ72" s="76" t="e">
        <v>#VALUE!</v>
      </c>
      <c r="CR72" s="76" t="e">
        <v>#VALUE!</v>
      </c>
      <c r="CS72" s="73" t="e">
        <f t="shared" si="67"/>
        <v>#REF!</v>
      </c>
      <c r="CT72" s="31" t="e">
        <f t="shared" si="60"/>
        <v>#VALUE!</v>
      </c>
      <c r="CU72" s="76" t="e">
        <v>#VALUE!</v>
      </c>
      <c r="CV72" s="76" t="e">
        <v>#VALUE!</v>
      </c>
      <c r="CW72" s="76" t="e">
        <v>#VALUE!</v>
      </c>
      <c r="CX72" s="76" t="e">
        <v>#VALUE!</v>
      </c>
      <c r="CZ72" s="31" t="e">
        <f t="shared" si="61"/>
        <v>#VALUE!</v>
      </c>
      <c r="DA72" s="76" t="e">
        <v>#VALUE!</v>
      </c>
      <c r="DB72" s="76" t="e">
        <v>#VALUE!</v>
      </c>
      <c r="DC72" s="76" t="e">
        <v>#VALUE!</v>
      </c>
      <c r="DD72" s="76" t="e">
        <v>#VALUE!</v>
      </c>
      <c r="DF72" s="31" t="e">
        <f t="shared" si="62"/>
        <v>#VALUE!</v>
      </c>
      <c r="DG72" s="76" t="e">
        <v>#VALUE!</v>
      </c>
      <c r="DH72" s="76" t="e">
        <v>#VALUE!</v>
      </c>
      <c r="DI72" s="76" t="e">
        <v>#VALUE!</v>
      </c>
      <c r="DJ72" s="76" t="e">
        <v>#VALUE!</v>
      </c>
      <c r="DK72" s="76"/>
      <c r="DL72" s="31" t="e">
        <f t="shared" si="63"/>
        <v>#VALUE!</v>
      </c>
      <c r="DM72" s="76" t="e">
        <v>#VALUE!</v>
      </c>
      <c r="DN72" s="76" t="e">
        <v>#VALUE!</v>
      </c>
      <c r="DO72" s="76" t="e">
        <v>#VALUE!</v>
      </c>
      <c r="DP72" s="76" t="e">
        <v>#VALUE!</v>
      </c>
    </row>
    <row r="73" spans="1:120">
      <c r="A73" s="73" t="e">
        <f>name!#REF!</f>
        <v>#REF!</v>
      </c>
      <c r="B73" s="31" t="e">
        <f t="shared" si="44"/>
        <v>#VALUE!</v>
      </c>
      <c r="C73" s="76" t="e">
        <v>#VALUE!</v>
      </c>
      <c r="D73" s="76" t="e">
        <v>#VALUE!</v>
      </c>
      <c r="E73" s="76" t="e">
        <v>#VALUE!</v>
      </c>
      <c r="F73" s="76" t="e">
        <v>#VALUE!</v>
      </c>
      <c r="H73" s="31" t="e">
        <f t="shared" si="45"/>
        <v>#VALUE!</v>
      </c>
      <c r="I73" s="76" t="e">
        <v>#VALUE!</v>
      </c>
      <c r="J73" s="76" t="e">
        <v>#VALUE!</v>
      </c>
      <c r="K73" s="76" t="e">
        <v>#VALUE!</v>
      </c>
      <c r="L73" s="76" t="e">
        <v>#VALUE!</v>
      </c>
      <c r="N73" s="31" t="e">
        <f t="shared" si="46"/>
        <v>#VALUE!</v>
      </c>
      <c r="O73" s="76" t="e">
        <v>#VALUE!</v>
      </c>
      <c r="P73" s="76" t="e">
        <v>#VALUE!</v>
      </c>
      <c r="Q73" s="76" t="e">
        <v>#VALUE!</v>
      </c>
      <c r="R73" s="76" t="e">
        <v>#VALUE!</v>
      </c>
      <c r="S73" s="76"/>
      <c r="T73" s="31" t="e">
        <f t="shared" si="47"/>
        <v>#VALUE!</v>
      </c>
      <c r="U73" s="76" t="e">
        <v>#VALUE!</v>
      </c>
      <c r="V73" s="76" t="e">
        <v>#VALUE!</v>
      </c>
      <c r="W73" s="76" t="e">
        <v>#VALUE!</v>
      </c>
      <c r="X73" s="76" t="e">
        <v>#VALUE!</v>
      </c>
      <c r="Y73" s="73" t="e">
        <f t="shared" si="64"/>
        <v>#REF!</v>
      </c>
      <c r="Z73" s="31" t="e">
        <f t="shared" si="48"/>
        <v>#VALUE!</v>
      </c>
      <c r="AA73" s="76" t="e">
        <v>#VALUE!</v>
      </c>
      <c r="AB73" s="76" t="e">
        <v>#VALUE!</v>
      </c>
      <c r="AC73" s="76" t="e">
        <v>#VALUE!</v>
      </c>
      <c r="AD73" s="76" t="e">
        <v>#VALUE!</v>
      </c>
      <c r="AF73" s="31" t="e">
        <f t="shared" si="49"/>
        <v>#VALUE!</v>
      </c>
      <c r="AG73" s="76" t="e">
        <v>#VALUE!</v>
      </c>
      <c r="AH73" s="76" t="e">
        <v>#VALUE!</v>
      </c>
      <c r="AI73" s="76" t="e">
        <v>#VALUE!</v>
      </c>
      <c r="AJ73" s="76" t="e">
        <v>#VALUE!</v>
      </c>
      <c r="AL73" s="31" t="e">
        <f t="shared" si="50"/>
        <v>#VALUE!</v>
      </c>
      <c r="AM73" s="76" t="e">
        <v>#VALUE!</v>
      </c>
      <c r="AN73" s="76" t="e">
        <v>#VALUE!</v>
      </c>
      <c r="AO73" s="76" t="e">
        <v>#VALUE!</v>
      </c>
      <c r="AP73" s="76" t="e">
        <v>#VALUE!</v>
      </c>
      <c r="AQ73" s="76"/>
      <c r="AR73" s="31" t="e">
        <f t="shared" si="51"/>
        <v>#VALUE!</v>
      </c>
      <c r="AS73" s="76" t="e">
        <v>#VALUE!</v>
      </c>
      <c r="AT73" s="76" t="e">
        <v>#VALUE!</v>
      </c>
      <c r="AU73" s="76" t="e">
        <v>#VALUE!</v>
      </c>
      <c r="AV73" s="76" t="e">
        <v>#VALUE!</v>
      </c>
      <c r="AW73" s="73" t="e">
        <f t="shared" si="65"/>
        <v>#REF!</v>
      </c>
      <c r="AX73" s="31" t="e">
        <f t="shared" si="52"/>
        <v>#VALUE!</v>
      </c>
      <c r="AY73" s="76" t="e">
        <v>#VALUE!</v>
      </c>
      <c r="AZ73" s="76" t="e">
        <v>#VALUE!</v>
      </c>
      <c r="BA73" s="76" t="e">
        <v>#VALUE!</v>
      </c>
      <c r="BB73" s="76" t="e">
        <v>#VALUE!</v>
      </c>
      <c r="BD73" s="31" t="e">
        <f t="shared" si="53"/>
        <v>#VALUE!</v>
      </c>
      <c r="BE73" s="76" t="e">
        <v>#VALUE!</v>
      </c>
      <c r="BF73" s="76" t="e">
        <v>#VALUE!</v>
      </c>
      <c r="BG73" s="76" t="e">
        <v>#VALUE!</v>
      </c>
      <c r="BH73" s="76" t="e">
        <v>#VALUE!</v>
      </c>
      <c r="BJ73" s="31" t="e">
        <f t="shared" si="54"/>
        <v>#VALUE!</v>
      </c>
      <c r="BK73" s="76" t="e">
        <v>#VALUE!</v>
      </c>
      <c r="BL73" s="76" t="e">
        <v>#VALUE!</v>
      </c>
      <c r="BM73" s="76" t="e">
        <v>#VALUE!</v>
      </c>
      <c r="BN73" s="76" t="e">
        <v>#VALUE!</v>
      </c>
      <c r="BO73" s="76"/>
      <c r="BP73" s="31" t="e">
        <f t="shared" si="55"/>
        <v>#VALUE!</v>
      </c>
      <c r="BQ73" s="76" t="e">
        <v>#VALUE!</v>
      </c>
      <c r="BR73" s="76" t="e">
        <v>#VALUE!</v>
      </c>
      <c r="BS73" s="76" t="e">
        <v>#VALUE!</v>
      </c>
      <c r="BT73" s="76" t="e">
        <v>#VALUE!</v>
      </c>
      <c r="BU73" s="73" t="e">
        <f t="shared" si="66"/>
        <v>#REF!</v>
      </c>
      <c r="BV73" s="31" t="e">
        <f t="shared" si="56"/>
        <v>#VALUE!</v>
      </c>
      <c r="BW73" s="76" t="e">
        <v>#VALUE!</v>
      </c>
      <c r="BX73" s="76" t="e">
        <v>#VALUE!</v>
      </c>
      <c r="BY73" s="76" t="e">
        <v>#VALUE!</v>
      </c>
      <c r="BZ73" s="76" t="e">
        <v>#VALUE!</v>
      </c>
      <c r="CB73" s="31" t="e">
        <f t="shared" si="57"/>
        <v>#VALUE!</v>
      </c>
      <c r="CC73" s="76" t="e">
        <v>#VALUE!</v>
      </c>
      <c r="CD73" s="76" t="e">
        <v>#VALUE!</v>
      </c>
      <c r="CE73" s="76" t="e">
        <v>#VALUE!</v>
      </c>
      <c r="CF73" s="76" t="e">
        <v>#VALUE!</v>
      </c>
      <c r="CH73" s="31" t="e">
        <f t="shared" si="58"/>
        <v>#VALUE!</v>
      </c>
      <c r="CI73" s="76" t="e">
        <v>#VALUE!</v>
      </c>
      <c r="CJ73" s="76" t="e">
        <v>#VALUE!</v>
      </c>
      <c r="CK73" s="76" t="e">
        <v>#VALUE!</v>
      </c>
      <c r="CL73" s="76" t="e">
        <v>#VALUE!</v>
      </c>
      <c r="CM73" s="76"/>
      <c r="CN73" s="31" t="e">
        <f t="shared" si="59"/>
        <v>#VALUE!</v>
      </c>
      <c r="CO73" s="76" t="e">
        <v>#VALUE!</v>
      </c>
      <c r="CP73" s="76" t="e">
        <v>#VALUE!</v>
      </c>
      <c r="CQ73" s="76" t="e">
        <v>#VALUE!</v>
      </c>
      <c r="CR73" s="76" t="e">
        <v>#VALUE!</v>
      </c>
      <c r="CS73" s="73" t="e">
        <f t="shared" si="67"/>
        <v>#REF!</v>
      </c>
      <c r="CT73" s="31" t="e">
        <f t="shared" si="60"/>
        <v>#VALUE!</v>
      </c>
      <c r="CU73" s="76" t="e">
        <v>#VALUE!</v>
      </c>
      <c r="CV73" s="76" t="e">
        <v>#VALUE!</v>
      </c>
      <c r="CW73" s="76" t="e">
        <v>#VALUE!</v>
      </c>
      <c r="CX73" s="76" t="e">
        <v>#VALUE!</v>
      </c>
      <c r="CZ73" s="31" t="e">
        <f t="shared" si="61"/>
        <v>#VALUE!</v>
      </c>
      <c r="DA73" s="76" t="e">
        <v>#VALUE!</v>
      </c>
      <c r="DB73" s="76" t="e">
        <v>#VALUE!</v>
      </c>
      <c r="DC73" s="76" t="e">
        <v>#VALUE!</v>
      </c>
      <c r="DD73" s="76" t="e">
        <v>#VALUE!</v>
      </c>
      <c r="DF73" s="31" t="e">
        <f t="shared" si="62"/>
        <v>#VALUE!</v>
      </c>
      <c r="DG73" s="76" t="e">
        <v>#VALUE!</v>
      </c>
      <c r="DH73" s="76" t="e">
        <v>#VALUE!</v>
      </c>
      <c r="DI73" s="76" t="e">
        <v>#VALUE!</v>
      </c>
      <c r="DJ73" s="76" t="e">
        <v>#VALUE!</v>
      </c>
      <c r="DK73" s="76"/>
      <c r="DL73" s="31" t="e">
        <f t="shared" si="63"/>
        <v>#VALUE!</v>
      </c>
      <c r="DM73" s="76" t="e">
        <v>#VALUE!</v>
      </c>
      <c r="DN73" s="76" t="e">
        <v>#VALUE!</v>
      </c>
      <c r="DO73" s="76" t="e">
        <v>#VALUE!</v>
      </c>
      <c r="DP73" s="76" t="e">
        <v>#VALUE!</v>
      </c>
    </row>
    <row r="74" spans="1:120">
      <c r="A74" s="73" t="e">
        <f>name!#REF!</f>
        <v>#REF!</v>
      </c>
      <c r="B74" s="31" t="e">
        <f t="shared" si="44"/>
        <v>#VALUE!</v>
      </c>
      <c r="C74" s="76" t="e">
        <v>#VALUE!</v>
      </c>
      <c r="D74" s="76" t="e">
        <v>#VALUE!</v>
      </c>
      <c r="E74" s="76" t="e">
        <v>#VALUE!</v>
      </c>
      <c r="F74" s="76" t="e">
        <v>#VALUE!</v>
      </c>
      <c r="H74" s="31" t="e">
        <f t="shared" si="45"/>
        <v>#VALUE!</v>
      </c>
      <c r="I74" s="76" t="e">
        <v>#VALUE!</v>
      </c>
      <c r="J74" s="76" t="e">
        <v>#VALUE!</v>
      </c>
      <c r="K74" s="76" t="e">
        <v>#VALUE!</v>
      </c>
      <c r="L74" s="76" t="e">
        <v>#VALUE!</v>
      </c>
      <c r="N74" s="31" t="e">
        <f t="shared" si="46"/>
        <v>#VALUE!</v>
      </c>
      <c r="O74" s="76" t="e">
        <v>#VALUE!</v>
      </c>
      <c r="P74" s="76" t="e">
        <v>#VALUE!</v>
      </c>
      <c r="Q74" s="76" t="e">
        <v>#VALUE!</v>
      </c>
      <c r="R74" s="76" t="e">
        <v>#VALUE!</v>
      </c>
      <c r="S74" s="76"/>
      <c r="T74" s="31" t="e">
        <f t="shared" si="47"/>
        <v>#VALUE!</v>
      </c>
      <c r="U74" s="76" t="e">
        <v>#VALUE!</v>
      </c>
      <c r="V74" s="76" t="e">
        <v>#VALUE!</v>
      </c>
      <c r="W74" s="76" t="e">
        <v>#VALUE!</v>
      </c>
      <c r="X74" s="76" t="e">
        <v>#VALUE!</v>
      </c>
      <c r="Y74" s="73" t="e">
        <f t="shared" si="64"/>
        <v>#REF!</v>
      </c>
      <c r="Z74" s="31" t="e">
        <f t="shared" si="48"/>
        <v>#VALUE!</v>
      </c>
      <c r="AA74" s="76" t="e">
        <v>#VALUE!</v>
      </c>
      <c r="AB74" s="76" t="e">
        <v>#VALUE!</v>
      </c>
      <c r="AC74" s="76" t="e">
        <v>#VALUE!</v>
      </c>
      <c r="AD74" s="76" t="e">
        <v>#VALUE!</v>
      </c>
      <c r="AF74" s="31" t="e">
        <f t="shared" si="49"/>
        <v>#VALUE!</v>
      </c>
      <c r="AG74" s="76" t="e">
        <v>#VALUE!</v>
      </c>
      <c r="AH74" s="76" t="e">
        <v>#VALUE!</v>
      </c>
      <c r="AI74" s="76" t="e">
        <v>#VALUE!</v>
      </c>
      <c r="AJ74" s="76" t="e">
        <v>#VALUE!</v>
      </c>
      <c r="AL74" s="31" t="e">
        <f t="shared" si="50"/>
        <v>#VALUE!</v>
      </c>
      <c r="AM74" s="76" t="e">
        <v>#VALUE!</v>
      </c>
      <c r="AN74" s="76" t="e">
        <v>#VALUE!</v>
      </c>
      <c r="AO74" s="76" t="e">
        <v>#VALUE!</v>
      </c>
      <c r="AP74" s="76" t="e">
        <v>#VALUE!</v>
      </c>
      <c r="AQ74" s="76"/>
      <c r="AR74" s="31" t="e">
        <f t="shared" si="51"/>
        <v>#VALUE!</v>
      </c>
      <c r="AS74" s="76" t="e">
        <v>#VALUE!</v>
      </c>
      <c r="AT74" s="76" t="e">
        <v>#VALUE!</v>
      </c>
      <c r="AU74" s="76" t="e">
        <v>#VALUE!</v>
      </c>
      <c r="AV74" s="76" t="e">
        <v>#VALUE!</v>
      </c>
      <c r="AW74" s="73" t="e">
        <f t="shared" si="65"/>
        <v>#REF!</v>
      </c>
      <c r="AX74" s="31" t="e">
        <f t="shared" si="52"/>
        <v>#VALUE!</v>
      </c>
      <c r="AY74" s="76" t="e">
        <v>#VALUE!</v>
      </c>
      <c r="AZ74" s="76" t="e">
        <v>#VALUE!</v>
      </c>
      <c r="BA74" s="76" t="e">
        <v>#VALUE!</v>
      </c>
      <c r="BB74" s="76" t="e">
        <v>#VALUE!</v>
      </c>
      <c r="BD74" s="31" t="e">
        <f t="shared" si="53"/>
        <v>#VALUE!</v>
      </c>
      <c r="BE74" s="76" t="e">
        <v>#VALUE!</v>
      </c>
      <c r="BF74" s="76" t="e">
        <v>#VALUE!</v>
      </c>
      <c r="BG74" s="76" t="e">
        <v>#VALUE!</v>
      </c>
      <c r="BH74" s="76" t="e">
        <v>#VALUE!</v>
      </c>
      <c r="BJ74" s="31" t="e">
        <f t="shared" si="54"/>
        <v>#VALUE!</v>
      </c>
      <c r="BK74" s="76" t="e">
        <v>#VALUE!</v>
      </c>
      <c r="BL74" s="76" t="e">
        <v>#VALUE!</v>
      </c>
      <c r="BM74" s="76" t="e">
        <v>#VALUE!</v>
      </c>
      <c r="BN74" s="76" t="e">
        <v>#VALUE!</v>
      </c>
      <c r="BO74" s="76"/>
      <c r="BP74" s="31" t="e">
        <f t="shared" si="55"/>
        <v>#VALUE!</v>
      </c>
      <c r="BQ74" s="76" t="e">
        <v>#VALUE!</v>
      </c>
      <c r="BR74" s="76" t="e">
        <v>#VALUE!</v>
      </c>
      <c r="BS74" s="76" t="e">
        <v>#VALUE!</v>
      </c>
      <c r="BT74" s="76" t="e">
        <v>#VALUE!</v>
      </c>
      <c r="BU74" s="73" t="e">
        <f t="shared" si="66"/>
        <v>#REF!</v>
      </c>
      <c r="BV74" s="31" t="e">
        <f t="shared" si="56"/>
        <v>#VALUE!</v>
      </c>
      <c r="BW74" s="76" t="e">
        <v>#VALUE!</v>
      </c>
      <c r="BX74" s="76" t="e">
        <v>#VALUE!</v>
      </c>
      <c r="BY74" s="76" t="e">
        <v>#VALUE!</v>
      </c>
      <c r="BZ74" s="76" t="e">
        <v>#VALUE!</v>
      </c>
      <c r="CB74" s="31" t="e">
        <f t="shared" si="57"/>
        <v>#VALUE!</v>
      </c>
      <c r="CC74" s="76" t="e">
        <v>#VALUE!</v>
      </c>
      <c r="CD74" s="76" t="e">
        <v>#VALUE!</v>
      </c>
      <c r="CE74" s="76" t="e">
        <v>#VALUE!</v>
      </c>
      <c r="CF74" s="76" t="e">
        <v>#VALUE!</v>
      </c>
      <c r="CH74" s="31" t="e">
        <f t="shared" si="58"/>
        <v>#VALUE!</v>
      </c>
      <c r="CI74" s="76" t="e">
        <v>#VALUE!</v>
      </c>
      <c r="CJ74" s="76" t="e">
        <v>#VALUE!</v>
      </c>
      <c r="CK74" s="76" t="e">
        <v>#VALUE!</v>
      </c>
      <c r="CL74" s="76" t="e">
        <v>#VALUE!</v>
      </c>
      <c r="CM74" s="76"/>
      <c r="CN74" s="31" t="e">
        <f t="shared" si="59"/>
        <v>#VALUE!</v>
      </c>
      <c r="CO74" s="76" t="e">
        <v>#VALUE!</v>
      </c>
      <c r="CP74" s="76" t="e">
        <v>#VALUE!</v>
      </c>
      <c r="CQ74" s="76" t="e">
        <v>#VALUE!</v>
      </c>
      <c r="CR74" s="76" t="e">
        <v>#VALUE!</v>
      </c>
      <c r="CS74" s="73" t="e">
        <f t="shared" si="67"/>
        <v>#REF!</v>
      </c>
      <c r="CT74" s="31" t="e">
        <f t="shared" si="60"/>
        <v>#VALUE!</v>
      </c>
      <c r="CU74" s="76" t="e">
        <v>#VALUE!</v>
      </c>
      <c r="CV74" s="76" t="e">
        <v>#VALUE!</v>
      </c>
      <c r="CW74" s="76" t="e">
        <v>#VALUE!</v>
      </c>
      <c r="CX74" s="76" t="e">
        <v>#VALUE!</v>
      </c>
      <c r="CZ74" s="31" t="e">
        <f t="shared" si="61"/>
        <v>#VALUE!</v>
      </c>
      <c r="DA74" s="76" t="e">
        <v>#VALUE!</v>
      </c>
      <c r="DB74" s="76" t="e">
        <v>#VALUE!</v>
      </c>
      <c r="DC74" s="76" t="e">
        <v>#VALUE!</v>
      </c>
      <c r="DD74" s="76" t="e">
        <v>#VALUE!</v>
      </c>
      <c r="DF74" s="31" t="e">
        <f t="shared" si="62"/>
        <v>#VALUE!</v>
      </c>
      <c r="DG74" s="76" t="e">
        <v>#VALUE!</v>
      </c>
      <c r="DH74" s="76" t="e">
        <v>#VALUE!</v>
      </c>
      <c r="DI74" s="76" t="e">
        <v>#VALUE!</v>
      </c>
      <c r="DJ74" s="76" t="e">
        <v>#VALUE!</v>
      </c>
      <c r="DK74" s="76"/>
      <c r="DL74" s="31" t="e">
        <f t="shared" si="63"/>
        <v>#VALUE!</v>
      </c>
      <c r="DM74" s="76" t="e">
        <v>#VALUE!</v>
      </c>
      <c r="DN74" s="76" t="e">
        <v>#VALUE!</v>
      </c>
      <c r="DO74" s="76" t="e">
        <v>#VALUE!</v>
      </c>
      <c r="DP74" s="76" t="e">
        <v>#VALUE!</v>
      </c>
    </row>
    <row r="75" spans="1:120">
      <c r="A75" s="73" t="e">
        <f>name!#REF!</f>
        <v>#REF!</v>
      </c>
      <c r="B75" s="31" t="e">
        <f t="shared" si="44"/>
        <v>#VALUE!</v>
      </c>
      <c r="C75" s="76" t="e">
        <v>#VALUE!</v>
      </c>
      <c r="D75" s="76" t="e">
        <v>#VALUE!</v>
      </c>
      <c r="E75" s="76" t="e">
        <v>#VALUE!</v>
      </c>
      <c r="F75" s="76" t="e">
        <v>#VALUE!</v>
      </c>
      <c r="H75" s="31" t="e">
        <f t="shared" si="45"/>
        <v>#VALUE!</v>
      </c>
      <c r="I75" s="76" t="e">
        <v>#VALUE!</v>
      </c>
      <c r="J75" s="76" t="e">
        <v>#VALUE!</v>
      </c>
      <c r="K75" s="76" t="e">
        <v>#VALUE!</v>
      </c>
      <c r="L75" s="76" t="e">
        <v>#VALUE!</v>
      </c>
      <c r="N75" s="31" t="e">
        <f t="shared" si="46"/>
        <v>#VALUE!</v>
      </c>
      <c r="O75" s="76" t="e">
        <v>#VALUE!</v>
      </c>
      <c r="P75" s="76" t="e">
        <v>#VALUE!</v>
      </c>
      <c r="Q75" s="76" t="e">
        <v>#VALUE!</v>
      </c>
      <c r="R75" s="76" t="e">
        <v>#VALUE!</v>
      </c>
      <c r="S75" s="76"/>
      <c r="T75" s="31" t="e">
        <f t="shared" si="47"/>
        <v>#VALUE!</v>
      </c>
      <c r="U75" s="76" t="e">
        <v>#VALUE!</v>
      </c>
      <c r="V75" s="76" t="e">
        <v>#VALUE!</v>
      </c>
      <c r="W75" s="76" t="e">
        <v>#VALUE!</v>
      </c>
      <c r="X75" s="76" t="e">
        <v>#VALUE!</v>
      </c>
      <c r="Y75" s="73" t="e">
        <f t="shared" si="64"/>
        <v>#REF!</v>
      </c>
      <c r="Z75" s="31" t="e">
        <f t="shared" si="48"/>
        <v>#VALUE!</v>
      </c>
      <c r="AA75" s="76" t="e">
        <v>#VALUE!</v>
      </c>
      <c r="AB75" s="76" t="e">
        <v>#VALUE!</v>
      </c>
      <c r="AC75" s="76" t="e">
        <v>#VALUE!</v>
      </c>
      <c r="AD75" s="76" t="e">
        <v>#VALUE!</v>
      </c>
      <c r="AF75" s="31" t="e">
        <f t="shared" si="49"/>
        <v>#VALUE!</v>
      </c>
      <c r="AG75" s="76" t="e">
        <v>#VALUE!</v>
      </c>
      <c r="AH75" s="76" t="e">
        <v>#VALUE!</v>
      </c>
      <c r="AI75" s="76" t="e">
        <v>#VALUE!</v>
      </c>
      <c r="AJ75" s="76" t="e">
        <v>#VALUE!</v>
      </c>
      <c r="AL75" s="31" t="e">
        <f t="shared" si="50"/>
        <v>#VALUE!</v>
      </c>
      <c r="AM75" s="76" t="e">
        <v>#VALUE!</v>
      </c>
      <c r="AN75" s="76" t="e">
        <v>#VALUE!</v>
      </c>
      <c r="AO75" s="76" t="e">
        <v>#VALUE!</v>
      </c>
      <c r="AP75" s="76" t="e">
        <v>#VALUE!</v>
      </c>
      <c r="AQ75" s="76"/>
      <c r="AR75" s="31" t="e">
        <f t="shared" si="51"/>
        <v>#VALUE!</v>
      </c>
      <c r="AS75" s="76" t="e">
        <v>#VALUE!</v>
      </c>
      <c r="AT75" s="76" t="e">
        <v>#VALUE!</v>
      </c>
      <c r="AU75" s="76" t="e">
        <v>#VALUE!</v>
      </c>
      <c r="AV75" s="76" t="e">
        <v>#VALUE!</v>
      </c>
      <c r="AW75" s="73" t="e">
        <f t="shared" si="65"/>
        <v>#REF!</v>
      </c>
      <c r="AX75" s="31" t="e">
        <f t="shared" si="52"/>
        <v>#VALUE!</v>
      </c>
      <c r="AY75" s="76" t="e">
        <v>#VALUE!</v>
      </c>
      <c r="AZ75" s="76" t="e">
        <v>#VALUE!</v>
      </c>
      <c r="BA75" s="76" t="e">
        <v>#VALUE!</v>
      </c>
      <c r="BB75" s="76" t="e">
        <v>#VALUE!</v>
      </c>
      <c r="BD75" s="31" t="e">
        <f t="shared" si="53"/>
        <v>#VALUE!</v>
      </c>
      <c r="BE75" s="76" t="e">
        <v>#VALUE!</v>
      </c>
      <c r="BF75" s="76" t="e">
        <v>#VALUE!</v>
      </c>
      <c r="BG75" s="76" t="e">
        <v>#VALUE!</v>
      </c>
      <c r="BH75" s="76" t="e">
        <v>#VALUE!</v>
      </c>
      <c r="BJ75" s="31" t="e">
        <f t="shared" si="54"/>
        <v>#VALUE!</v>
      </c>
      <c r="BK75" s="76" t="e">
        <v>#VALUE!</v>
      </c>
      <c r="BL75" s="76" t="e">
        <v>#VALUE!</v>
      </c>
      <c r="BM75" s="76" t="e">
        <v>#VALUE!</v>
      </c>
      <c r="BN75" s="76" t="e">
        <v>#VALUE!</v>
      </c>
      <c r="BO75" s="76"/>
      <c r="BP75" s="31" t="e">
        <f t="shared" si="55"/>
        <v>#VALUE!</v>
      </c>
      <c r="BQ75" s="76" t="e">
        <v>#VALUE!</v>
      </c>
      <c r="BR75" s="76" t="e">
        <v>#VALUE!</v>
      </c>
      <c r="BS75" s="76" t="e">
        <v>#VALUE!</v>
      </c>
      <c r="BT75" s="76" t="e">
        <v>#VALUE!</v>
      </c>
      <c r="BU75" s="73" t="e">
        <f t="shared" si="66"/>
        <v>#REF!</v>
      </c>
      <c r="BV75" s="31" t="e">
        <f t="shared" si="56"/>
        <v>#VALUE!</v>
      </c>
      <c r="BW75" s="76" t="e">
        <v>#VALUE!</v>
      </c>
      <c r="BX75" s="76" t="e">
        <v>#VALUE!</v>
      </c>
      <c r="BY75" s="76" t="e">
        <v>#VALUE!</v>
      </c>
      <c r="BZ75" s="76" t="e">
        <v>#VALUE!</v>
      </c>
      <c r="CB75" s="31" t="e">
        <f t="shared" si="57"/>
        <v>#VALUE!</v>
      </c>
      <c r="CC75" s="76" t="e">
        <v>#VALUE!</v>
      </c>
      <c r="CD75" s="76" t="e">
        <v>#VALUE!</v>
      </c>
      <c r="CE75" s="76" t="e">
        <v>#VALUE!</v>
      </c>
      <c r="CF75" s="76" t="e">
        <v>#VALUE!</v>
      </c>
      <c r="CH75" s="31" t="e">
        <f t="shared" si="58"/>
        <v>#VALUE!</v>
      </c>
      <c r="CI75" s="76" t="e">
        <v>#VALUE!</v>
      </c>
      <c r="CJ75" s="76" t="e">
        <v>#VALUE!</v>
      </c>
      <c r="CK75" s="76" t="e">
        <v>#VALUE!</v>
      </c>
      <c r="CL75" s="76" t="e">
        <v>#VALUE!</v>
      </c>
      <c r="CM75" s="76"/>
      <c r="CN75" s="31" t="e">
        <f t="shared" si="59"/>
        <v>#VALUE!</v>
      </c>
      <c r="CO75" s="76" t="e">
        <v>#VALUE!</v>
      </c>
      <c r="CP75" s="76" t="e">
        <v>#VALUE!</v>
      </c>
      <c r="CQ75" s="76" t="e">
        <v>#VALUE!</v>
      </c>
      <c r="CR75" s="76" t="e">
        <v>#VALUE!</v>
      </c>
      <c r="CS75" s="73" t="e">
        <f t="shared" si="67"/>
        <v>#REF!</v>
      </c>
      <c r="CT75" s="31" t="e">
        <f t="shared" si="60"/>
        <v>#VALUE!</v>
      </c>
      <c r="CU75" s="76" t="e">
        <v>#VALUE!</v>
      </c>
      <c r="CV75" s="76" t="e">
        <v>#VALUE!</v>
      </c>
      <c r="CW75" s="76" t="e">
        <v>#VALUE!</v>
      </c>
      <c r="CX75" s="76" t="e">
        <v>#VALUE!</v>
      </c>
      <c r="CZ75" s="31" t="e">
        <f t="shared" si="61"/>
        <v>#VALUE!</v>
      </c>
      <c r="DA75" s="76" t="e">
        <v>#VALUE!</v>
      </c>
      <c r="DB75" s="76" t="e">
        <v>#VALUE!</v>
      </c>
      <c r="DC75" s="76" t="e">
        <v>#VALUE!</v>
      </c>
      <c r="DD75" s="76" t="e">
        <v>#VALUE!</v>
      </c>
      <c r="DF75" s="31" t="e">
        <f t="shared" si="62"/>
        <v>#VALUE!</v>
      </c>
      <c r="DG75" s="76" t="e">
        <v>#VALUE!</v>
      </c>
      <c r="DH75" s="76" t="e">
        <v>#VALUE!</v>
      </c>
      <c r="DI75" s="76" t="e">
        <v>#VALUE!</v>
      </c>
      <c r="DJ75" s="76" t="e">
        <v>#VALUE!</v>
      </c>
      <c r="DK75" s="76"/>
      <c r="DL75" s="31" t="e">
        <f t="shared" si="63"/>
        <v>#VALUE!</v>
      </c>
      <c r="DM75" s="76" t="e">
        <v>#VALUE!</v>
      </c>
      <c r="DN75" s="76" t="e">
        <v>#VALUE!</v>
      </c>
      <c r="DO75" s="76" t="e">
        <v>#VALUE!</v>
      </c>
      <c r="DP75" s="76" t="e">
        <v>#VALUE!</v>
      </c>
    </row>
    <row r="76" spans="1:120">
      <c r="B76" s="31"/>
      <c r="H76" s="31"/>
      <c r="N76" s="31"/>
      <c r="T76" s="31"/>
      <c r="Z76" s="31"/>
      <c r="AF76" s="31"/>
      <c r="AL76" s="31"/>
      <c r="AR76" s="31"/>
      <c r="AX76" s="31"/>
      <c r="BD76" s="31"/>
      <c r="BJ76" s="31"/>
      <c r="BP76" s="31"/>
      <c r="BV76" s="31"/>
      <c r="CB76" s="31"/>
      <c r="CH76" s="31"/>
      <c r="CN76" s="31"/>
      <c r="CT76" s="31"/>
      <c r="CZ76" s="31"/>
      <c r="DF76" s="31"/>
      <c r="DL76" s="31"/>
    </row>
    <row r="77" spans="1:120">
      <c r="A77" s="74" t="e">
        <f>name!#REF!</f>
        <v>#REF!</v>
      </c>
      <c r="B77" s="34">
        <f t="shared" si="44"/>
        <v>2.7912372459239387</v>
      </c>
      <c r="C77" s="75">
        <f>C50</f>
        <v>4561.2992279926211</v>
      </c>
      <c r="D77" s="75">
        <f>D50</f>
        <v>431.97496524334053</v>
      </c>
      <c r="E77" s="75">
        <f>E50</f>
        <v>1445.5882710202891</v>
      </c>
      <c r="F77" s="75">
        <f>F50</f>
        <v>1877.5632362636297</v>
      </c>
      <c r="G77" s="74"/>
      <c r="H77" s="34">
        <f t="shared" si="45"/>
        <v>2.6517730789267446</v>
      </c>
      <c r="I77" s="75">
        <f>I50</f>
        <v>774.77767553257945</v>
      </c>
      <c r="J77" s="75">
        <f>J50</f>
        <v>-90.9176985646708</v>
      </c>
      <c r="K77" s="75">
        <f>K50</f>
        <v>231.78692033646578</v>
      </c>
      <c r="L77" s="75">
        <f>L50</f>
        <v>140.86922177179497</v>
      </c>
      <c r="M77" s="74"/>
      <c r="N77" s="34">
        <f t="shared" si="46"/>
        <v>2.6893242464146816</v>
      </c>
      <c r="O77" s="75">
        <f>O50</f>
        <v>1810.6123702397726</v>
      </c>
      <c r="P77" s="75">
        <f>P50</f>
        <v>208.84741372398935</v>
      </c>
      <c r="Q77" s="75">
        <f>Q50</f>
        <v>550.29225403969679</v>
      </c>
      <c r="R77" s="75">
        <f>R50</f>
        <v>759.13966776368613</v>
      </c>
      <c r="S77" s="75"/>
      <c r="T77" s="34">
        <f t="shared" si="47"/>
        <v>2.9376202991175049</v>
      </c>
      <c r="U77" s="75">
        <f>U50</f>
        <v>1975.9091822202711</v>
      </c>
      <c r="V77" s="75">
        <f>V50</f>
        <v>314.04525008402186</v>
      </c>
      <c r="W77" s="75">
        <f>W50</f>
        <v>663.50909664412427</v>
      </c>
      <c r="X77" s="75">
        <f>X50</f>
        <v>977.55434672814613</v>
      </c>
      <c r="Y77" s="74" t="e">
        <f>A77</f>
        <v>#REF!</v>
      </c>
      <c r="Z77" s="34">
        <f>IF(AA77&gt;0,((1+(AC77/AA77))^(1/($A$101-$A$100))-1)*100,0)</f>
        <v>2.9771972098236787</v>
      </c>
      <c r="AA77" s="75">
        <f>AA50</f>
        <v>2141.7348734083043</v>
      </c>
      <c r="AB77" s="75">
        <f>AB50</f>
        <v>328.18012130131888</v>
      </c>
      <c r="AC77" s="75">
        <f>AC50</f>
        <v>730.21185757939747</v>
      </c>
      <c r="AD77" s="75">
        <f>AD50</f>
        <v>1058.3919788807164</v>
      </c>
      <c r="AE77" s="74"/>
      <c r="AF77" s="34">
        <f>IF(AG77&gt;0,((1+(AI77/AG77))^(1/($A$101-$A$100))-1)*100,0)</f>
        <v>3.0280155732974823</v>
      </c>
      <c r="AG77" s="75">
        <f>AG50</f>
        <v>114.36183531349347</v>
      </c>
      <c r="AH77" s="75">
        <f>AH50</f>
        <v>10.806009020856356</v>
      </c>
      <c r="AI77" s="75">
        <f>AI50</f>
        <v>39.749458273691218</v>
      </c>
      <c r="AJ77" s="75">
        <f>AJ50</f>
        <v>50.555467294547576</v>
      </c>
      <c r="AK77" s="74"/>
      <c r="AL77" s="34">
        <f>IF(AM77&gt;0,((1+(AO77/AM77))^(1/($A$101-$A$100))-1)*100,0)</f>
        <v>2.9663353480916088</v>
      </c>
      <c r="AM77" s="75">
        <f>AM50</f>
        <v>484.03376220781502</v>
      </c>
      <c r="AN77" s="75">
        <f>AN50</f>
        <v>80.752171418150368</v>
      </c>
      <c r="AO77" s="75">
        <f>AO50</f>
        <v>164.34415782441963</v>
      </c>
      <c r="AP77" s="75">
        <f>AP50</f>
        <v>245.09632924256999</v>
      </c>
      <c r="AQ77" s="75"/>
      <c r="AR77" s="34">
        <f>IF(AS77&gt;0,((1+(AU77/AS77))^(1/($A$101-$A$100))-1)*100,0)</f>
        <v>2.9768281396108875</v>
      </c>
      <c r="AS77" s="75">
        <f>AS50</f>
        <v>1543.3392758869961</v>
      </c>
      <c r="AT77" s="75">
        <f>AT50</f>
        <v>236.62194086231219</v>
      </c>
      <c r="AU77" s="75">
        <f>AU50</f>
        <v>526.11824148128676</v>
      </c>
      <c r="AV77" s="75">
        <f>AV50</f>
        <v>762.74018234359892</v>
      </c>
      <c r="AW77" s="74" t="e">
        <f>Y77</f>
        <v>#REF!</v>
      </c>
      <c r="AX77" s="34">
        <f>IF(AY77&gt;0,((1+(BA77/AY77))^(1/($A$101-$A$100))-1)*100,0)</f>
        <v>2.5960689907792656</v>
      </c>
      <c r="AY77" s="75">
        <f>AY50</f>
        <v>1169.4910110900296</v>
      </c>
      <c r="AZ77" s="75">
        <f>AZ50</f>
        <v>61.012733866251224</v>
      </c>
      <c r="BA77" s="75">
        <f>BA50</f>
        <v>341.64688672572964</v>
      </c>
      <c r="BB77" s="75">
        <f>BB50</f>
        <v>402.65962059198085</v>
      </c>
      <c r="BC77" s="74"/>
      <c r="BD77" s="34">
        <f>IF(BE77&gt;0,((1+(BG77/BE77))^(1/($A$101-$A$100))-1)*100,0)</f>
        <v>2.5108134589674425</v>
      </c>
      <c r="BE77" s="75">
        <f>BE50</f>
        <v>196.77997170605971</v>
      </c>
      <c r="BF77" s="75">
        <f>BF50</f>
        <v>-19.19988351079143</v>
      </c>
      <c r="BG77" s="75">
        <f>BG50</f>
        <v>55.380896948664599</v>
      </c>
      <c r="BH77" s="75">
        <f>BH50</f>
        <v>36.181013437873169</v>
      </c>
      <c r="BI77" s="74"/>
      <c r="BJ77" s="34">
        <f>IF(BK77&gt;0,((1+(BM77/BK77))^(1/($A$101-$A$100))-1)*100,0)</f>
        <v>2.5531077119064882</v>
      </c>
      <c r="BK77" s="75">
        <f>BK50</f>
        <v>650.12175377402275</v>
      </c>
      <c r="BL77" s="75">
        <f>BL50</f>
        <v>42.192712487148434</v>
      </c>
      <c r="BM77" s="75">
        <f>BM50</f>
        <v>186.41100647521165</v>
      </c>
      <c r="BN77" s="75">
        <f>BN50</f>
        <v>228.60371896236009</v>
      </c>
      <c r="BO77" s="75"/>
      <c r="BP77" s="34">
        <f>IF(BQ77&gt;0,((1+(BS77/BQ77))^(1/($A$101-$A$100))-1)*100,0)</f>
        <v>2.7334678665663192</v>
      </c>
      <c r="BQ77" s="75">
        <f>BQ50</f>
        <v>322.58928560994713</v>
      </c>
      <c r="BR77" s="75">
        <f>BR50</f>
        <v>38.019904889894228</v>
      </c>
      <c r="BS77" s="75">
        <f>BS50</f>
        <v>99.854983301853494</v>
      </c>
      <c r="BT77" s="75">
        <f>BT50</f>
        <v>137.87488819174771</v>
      </c>
      <c r="BU77" s="74" t="e">
        <f>AW77</f>
        <v>#REF!</v>
      </c>
      <c r="BV77" s="34">
        <f>IF(BW77&gt;0,((1+(BY77/BW77))^(1/($A$101-$A$100))-1)*100,0)</f>
        <v>2.5889208699682698</v>
      </c>
      <c r="BW77" s="75">
        <f>BW50</f>
        <v>786.26148565798121</v>
      </c>
      <c r="BX77" s="75">
        <f>BX50</f>
        <v>-16.768227409449015</v>
      </c>
      <c r="BY77" s="75">
        <f>BY50</f>
        <v>228.98528730973825</v>
      </c>
      <c r="BZ77" s="75">
        <f>BZ50</f>
        <v>212.21705990028923</v>
      </c>
      <c r="CA77" s="74"/>
      <c r="CB77" s="34">
        <f>IF(CC77&gt;0,((1+(CE77/CC77))^(1/($A$101-$A$100))-1)*100,0)</f>
        <v>2.5278948366694864</v>
      </c>
      <c r="CC77" s="75">
        <f>CC50</f>
        <v>257.91842111045776</v>
      </c>
      <c r="CD77" s="75">
        <f>CD50</f>
        <v>-52.179148361626908</v>
      </c>
      <c r="CE77" s="75">
        <f>CE50</f>
        <v>73.138570554183204</v>
      </c>
      <c r="CF77" s="75">
        <f>CF50</f>
        <v>20.959422192556296</v>
      </c>
      <c r="CG77" s="74"/>
      <c r="CH77" s="34">
        <f>IF(CI77&gt;0,((1+(CK77/CI77))^(1/($A$101-$A$100))-1)*100,0)</f>
        <v>2.5655949055339189</v>
      </c>
      <c r="CI77" s="75">
        <f>CI50</f>
        <v>462.50112579230256</v>
      </c>
      <c r="CJ77" s="75">
        <f>CJ50</f>
        <v>18.263082416840735</v>
      </c>
      <c r="CK77" s="75">
        <f>CK50</f>
        <v>133.33911166207648</v>
      </c>
      <c r="CL77" s="75">
        <f>CL50</f>
        <v>151.60219407891722</v>
      </c>
      <c r="CM77" s="75"/>
      <c r="CN77" s="34">
        <f>IF(CO77&gt;0,((1+(CQ77/CO77))^(1/($A$101-$A$100))-1)*100,0)</f>
        <v>2.9840981402702971</v>
      </c>
      <c r="CO77" s="75">
        <f>CO50</f>
        <v>65.841938755220539</v>
      </c>
      <c r="CP77" s="75">
        <f>CP50</f>
        <v>17.147838535337179</v>
      </c>
      <c r="CQ77" s="75">
        <f>CQ50</f>
        <v>22.507605093478684</v>
      </c>
      <c r="CR77" s="75">
        <f>CR50</f>
        <v>39.65544362881586</v>
      </c>
      <c r="CS77" s="74" t="e">
        <f>BU77</f>
        <v>#REF!</v>
      </c>
      <c r="CT77" s="34">
        <f>IF(CU77&gt;0,((1+(CW77/CU77))^(1/($A$101-$A$100))-1)*100,0)</f>
        <v>2.7533233225370157</v>
      </c>
      <c r="CU77" s="75">
        <f>CU50</f>
        <v>463.81185783630696</v>
      </c>
      <c r="CV77" s="75">
        <f>CV50</f>
        <v>59.550337485219423</v>
      </c>
      <c r="CW77" s="75">
        <f>CW50</f>
        <v>144.74423940542175</v>
      </c>
      <c r="CX77" s="75">
        <f>CX50</f>
        <v>204.29457689064117</v>
      </c>
      <c r="CY77" s="74"/>
      <c r="CZ77" s="34">
        <f>IF(DA77&gt;0,((1+(DC77/DA77))^(1/($A$101-$A$100))-1)*100,0)</f>
        <v>2.7273559755584653</v>
      </c>
      <c r="DA77" s="75">
        <f>DA50</f>
        <v>205.71744740256855</v>
      </c>
      <c r="DB77" s="75">
        <f>DB50</f>
        <v>-30.344675713108767</v>
      </c>
      <c r="DC77" s="75">
        <f>DC50</f>
        <v>63.517994559926827</v>
      </c>
      <c r="DD77" s="75">
        <f>DD50</f>
        <v>33.173318846818063</v>
      </c>
      <c r="DE77" s="74"/>
      <c r="DF77" s="34">
        <f>IF(DG77&gt;0,((1+(DI77/DG77))^(1/($A$101-$A$100))-1)*100,0)</f>
        <v>2.7323553670193235</v>
      </c>
      <c r="DG77" s="75">
        <f>DG50</f>
        <v>213.95572846563186</v>
      </c>
      <c r="DH77" s="75">
        <f>DH50</f>
        <v>67.639447401849822</v>
      </c>
      <c r="DI77" s="75">
        <f>DI50</f>
        <v>66.197978077989319</v>
      </c>
      <c r="DJ77" s="75">
        <f>DJ50</f>
        <v>133.83742547983914</v>
      </c>
      <c r="DK77" s="75"/>
      <c r="DL77" s="34">
        <f>IF(DM77&gt;0,((1+(DO77/DM77))^(1/($A$101-$A$100))-1)*100,0)</f>
        <v>2.9736201868302725</v>
      </c>
      <c r="DM77" s="75">
        <f>DM50</f>
        <v>44.13868196810671</v>
      </c>
      <c r="DN77" s="75">
        <f>DN50</f>
        <v>22.25556579647839</v>
      </c>
      <c r="DO77" s="75">
        <f>DO50</f>
        <v>15.028266767505601</v>
      </c>
      <c r="DP77" s="75">
        <f>DP50</f>
        <v>37.283832563983992</v>
      </c>
    </row>
    <row r="79" spans="1:120">
      <c r="A79" s="73" t="e">
        <f ca="1">CELL("filename")</f>
        <v>#VALUE!</v>
      </c>
      <c r="Y79" s="73" t="e">
        <f ca="1">CELL("filename")</f>
        <v>#VALUE!</v>
      </c>
      <c r="AW79" s="73" t="e">
        <f ca="1">CELL("filename")</f>
        <v>#VALUE!</v>
      </c>
      <c r="BU79" s="73" t="e">
        <f ca="1">CELL("filename")</f>
        <v>#VALUE!</v>
      </c>
      <c r="CS79" s="73" t="e">
        <f ca="1">CELL("filename")</f>
        <v>#VALUE!</v>
      </c>
    </row>
    <row r="80" spans="1:120" ht="15.75">
      <c r="A80" s="18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8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8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8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8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>
      <c r="A82" s="74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98" t="str">
        <f>$X$3</f>
        <v>thousands</v>
      </c>
      <c r="Y82" s="74"/>
      <c r="Z82" s="74"/>
      <c r="AA82" s="74"/>
      <c r="AB82" s="74"/>
      <c r="AC82" s="74"/>
      <c r="AD82" s="74"/>
      <c r="AE82" s="74"/>
      <c r="AF82" s="74"/>
      <c r="AG82" s="74"/>
      <c r="AH82" s="74"/>
      <c r="AI82" s="74"/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98" t="str">
        <f>$X$3</f>
        <v>thousands</v>
      </c>
      <c r="AW82" s="74"/>
      <c r="AX82" s="74"/>
      <c r="AY82" s="74"/>
      <c r="AZ82" s="74"/>
      <c r="BA82" s="74"/>
      <c r="BB82" s="74"/>
      <c r="BC82" s="74"/>
      <c r="BD82" s="74"/>
      <c r="BE82" s="74"/>
      <c r="BF82" s="74"/>
      <c r="BG82" s="74"/>
      <c r="BH82" s="74"/>
      <c r="BI82" s="74"/>
      <c r="BJ82" s="74"/>
      <c r="BK82" s="74"/>
      <c r="BL82" s="74"/>
      <c r="BM82" s="74"/>
      <c r="BN82" s="74"/>
      <c r="BO82" s="74"/>
      <c r="BP82" s="74"/>
      <c r="BQ82" s="74"/>
      <c r="BR82" s="74"/>
      <c r="BS82" s="74"/>
      <c r="BT82" s="98" t="str">
        <f>$X$3</f>
        <v>thousands</v>
      </c>
      <c r="BU82" s="74"/>
      <c r="BV82" s="74"/>
      <c r="BW82" s="74"/>
      <c r="BX82" s="74"/>
      <c r="BY82" s="74"/>
      <c r="BZ82" s="74"/>
      <c r="CA82" s="74"/>
      <c r="CB82" s="74"/>
      <c r="CC82" s="74"/>
      <c r="CD82" s="74"/>
      <c r="CE82" s="74"/>
      <c r="CF82" s="74"/>
      <c r="CG82" s="74"/>
      <c r="CH82" s="74"/>
      <c r="CI82" s="74"/>
      <c r="CJ82" s="74"/>
      <c r="CK82" s="74"/>
      <c r="CL82" s="74"/>
      <c r="CM82" s="74"/>
      <c r="CN82" s="74"/>
      <c r="CO82" s="74"/>
      <c r="CP82" s="74"/>
      <c r="CQ82" s="74"/>
      <c r="CR82" s="98" t="str">
        <f>$X$3</f>
        <v>thousands</v>
      </c>
      <c r="CS82" s="74"/>
      <c r="CT82" s="74"/>
      <c r="CU82" s="74"/>
      <c r="CV82" s="74"/>
      <c r="CW82" s="74"/>
      <c r="CX82" s="74"/>
      <c r="CY82" s="74"/>
      <c r="CZ82" s="74"/>
      <c r="DA82" s="74"/>
      <c r="DB82" s="74"/>
      <c r="DC82" s="74"/>
      <c r="DD82" s="74"/>
      <c r="DE82" s="74"/>
      <c r="DF82" s="74"/>
      <c r="DG82" s="74"/>
      <c r="DH82" s="74"/>
      <c r="DI82" s="74"/>
      <c r="DJ82" s="74"/>
      <c r="DK82" s="74"/>
      <c r="DL82" s="74"/>
      <c r="DM82" s="74"/>
      <c r="DN82" s="74"/>
      <c r="DO82" s="74"/>
      <c r="DP82" s="98" t="str">
        <f>$X$3</f>
        <v>thousands</v>
      </c>
    </row>
    <row r="83" spans="1:120">
      <c r="B83" s="354" t="str">
        <f>B4</f>
        <v>All qualifications</v>
      </c>
      <c r="C83" s="354"/>
      <c r="D83" s="354"/>
      <c r="E83" s="354"/>
      <c r="F83" s="354"/>
      <c r="G83" s="96"/>
      <c r="H83" s="354" t="str">
        <f>H4</f>
        <v>RQF8 Doctorate</v>
      </c>
      <c r="I83" s="354"/>
      <c r="J83" s="354"/>
      <c r="K83" s="354"/>
      <c r="L83" s="354"/>
      <c r="M83" s="96"/>
      <c r="N83" s="355" t="str">
        <f>N4</f>
        <v>RQF7 Other higher degree</v>
      </c>
      <c r="O83" s="355"/>
      <c r="P83" s="355"/>
      <c r="Q83" s="355"/>
      <c r="R83" s="355"/>
      <c r="S83" s="93"/>
      <c r="T83" s="355" t="str">
        <f>T4</f>
        <v>RQF6 First degree</v>
      </c>
      <c r="U83" s="355"/>
      <c r="V83" s="355"/>
      <c r="W83" s="355"/>
      <c r="X83" s="355"/>
      <c r="Z83" s="354" t="str">
        <f>Z4</f>
        <v>All qualifications</v>
      </c>
      <c r="AA83" s="354"/>
      <c r="AB83" s="354"/>
      <c r="AC83" s="354"/>
      <c r="AD83" s="354"/>
      <c r="AE83" s="96"/>
      <c r="AF83" s="354" t="str">
        <f>AF4</f>
        <v>RQF8 Doctorate</v>
      </c>
      <c r="AG83" s="354"/>
      <c r="AH83" s="354"/>
      <c r="AI83" s="354"/>
      <c r="AJ83" s="354"/>
      <c r="AK83" s="96"/>
      <c r="AL83" s="355" t="str">
        <f>AL4</f>
        <v>RQF7 Other higher degree</v>
      </c>
      <c r="AM83" s="355"/>
      <c r="AN83" s="355"/>
      <c r="AO83" s="355"/>
      <c r="AP83" s="355"/>
      <c r="AQ83" s="93"/>
      <c r="AR83" s="355" t="str">
        <f>AR4</f>
        <v>RQF6 First degree</v>
      </c>
      <c r="AS83" s="355"/>
      <c r="AT83" s="355"/>
      <c r="AU83" s="355"/>
      <c r="AV83" s="355"/>
      <c r="AX83" s="354" t="str">
        <f>AX4</f>
        <v>All qualifications</v>
      </c>
      <c r="AY83" s="354"/>
      <c r="AZ83" s="354"/>
      <c r="BA83" s="354"/>
      <c r="BB83" s="354"/>
      <c r="BC83" s="96"/>
      <c r="BD83" s="354" t="str">
        <f>BD4</f>
        <v>RQF8 Doctorate</v>
      </c>
      <c r="BE83" s="354"/>
      <c r="BF83" s="354"/>
      <c r="BG83" s="354"/>
      <c r="BH83" s="354"/>
      <c r="BI83" s="96"/>
      <c r="BJ83" s="355" t="str">
        <f>BJ4</f>
        <v>RQF7 Other higher degree</v>
      </c>
      <c r="BK83" s="355"/>
      <c r="BL83" s="355"/>
      <c r="BM83" s="355"/>
      <c r="BN83" s="355"/>
      <c r="BO83" s="93"/>
      <c r="BP83" s="355" t="str">
        <f>BP4</f>
        <v>RQF6 First degree</v>
      </c>
      <c r="BQ83" s="355"/>
      <c r="BR83" s="355"/>
      <c r="BS83" s="355"/>
      <c r="BT83" s="355"/>
      <c r="BV83" s="354" t="str">
        <f>BV4</f>
        <v>All qualifications</v>
      </c>
      <c r="BW83" s="354"/>
      <c r="BX83" s="354"/>
      <c r="BY83" s="354"/>
      <c r="BZ83" s="354"/>
      <c r="CA83" s="96"/>
      <c r="CB83" s="354" t="str">
        <f>CB4</f>
        <v>RQF8 Doctorate</v>
      </c>
      <c r="CC83" s="354"/>
      <c r="CD83" s="354"/>
      <c r="CE83" s="354"/>
      <c r="CF83" s="354"/>
      <c r="CG83" s="96"/>
      <c r="CH83" s="355" t="str">
        <f>CH4</f>
        <v>RQF7 Other higher degree</v>
      </c>
      <c r="CI83" s="355"/>
      <c r="CJ83" s="355"/>
      <c r="CK83" s="355"/>
      <c r="CL83" s="355"/>
      <c r="CM83" s="93"/>
      <c r="CN83" s="355" t="str">
        <f>CN4</f>
        <v>RQF6 First degree</v>
      </c>
      <c r="CO83" s="355"/>
      <c r="CP83" s="355"/>
      <c r="CQ83" s="355"/>
      <c r="CR83" s="355"/>
      <c r="CT83" s="354" t="str">
        <f>CT4</f>
        <v>All qualifications</v>
      </c>
      <c r="CU83" s="354"/>
      <c r="CV83" s="354"/>
      <c r="CW83" s="354"/>
      <c r="CX83" s="354"/>
      <c r="CY83" s="96"/>
      <c r="CZ83" s="354" t="str">
        <f>CZ4</f>
        <v>RQF8 Doctorate</v>
      </c>
      <c r="DA83" s="354"/>
      <c r="DB83" s="354"/>
      <c r="DC83" s="354"/>
      <c r="DD83" s="354"/>
      <c r="DE83" s="96"/>
      <c r="DF83" s="355" t="str">
        <f>DF4</f>
        <v>RQF7 Other higher degree</v>
      </c>
      <c r="DG83" s="355"/>
      <c r="DH83" s="355"/>
      <c r="DI83" s="355"/>
      <c r="DJ83" s="355"/>
      <c r="DK83" s="93"/>
      <c r="DL83" s="355" t="str">
        <f>DL4</f>
        <v>RQF6 First degree</v>
      </c>
      <c r="DM83" s="355"/>
      <c r="DN83" s="355"/>
      <c r="DO83" s="355"/>
      <c r="DP83" s="355"/>
    </row>
    <row r="85" spans="1:120" ht="38.25">
      <c r="A85" s="95"/>
      <c r="B85" s="92" t="str">
        <f>B6</f>
        <v>RD p.a%</v>
      </c>
      <c r="C85" s="92" t="str">
        <f>C6</f>
        <v>2015 Level</v>
      </c>
      <c r="D85" s="92" t="str">
        <f>D6</f>
        <v>Net Change</v>
      </c>
      <c r="E85" s="92" t="str">
        <f>E6</f>
        <v>Replace-ment Demand</v>
      </c>
      <c r="F85" s="92" t="str">
        <f>F6</f>
        <v>Total Require-ment</v>
      </c>
      <c r="G85" s="91"/>
      <c r="H85" s="87" t="str">
        <f>B85</f>
        <v>RD p.a%</v>
      </c>
      <c r="I85" s="87" t="str">
        <f>C85</f>
        <v>2015 Level</v>
      </c>
      <c r="J85" s="87" t="str">
        <f>D85</f>
        <v>Net Change</v>
      </c>
      <c r="K85" s="87" t="str">
        <f>E85</f>
        <v>Replace-ment Demand</v>
      </c>
      <c r="L85" s="87" t="str">
        <f>F85</f>
        <v>Total Require-ment</v>
      </c>
      <c r="M85" s="86"/>
      <c r="N85" s="88" t="str">
        <f>H85</f>
        <v>RD p.a%</v>
      </c>
      <c r="O85" s="88" t="str">
        <f>I85</f>
        <v>2015 Level</v>
      </c>
      <c r="P85" s="88" t="str">
        <f>J85</f>
        <v>Net Change</v>
      </c>
      <c r="Q85" s="88" t="str">
        <f>K85</f>
        <v>Replace-ment Demand</v>
      </c>
      <c r="R85" s="88" t="str">
        <f>L85</f>
        <v>Total Require-ment</v>
      </c>
      <c r="S85" s="86"/>
      <c r="T85" s="88" t="str">
        <f>N85</f>
        <v>RD p.a%</v>
      </c>
      <c r="U85" s="88" t="str">
        <f>O85</f>
        <v>2015 Level</v>
      </c>
      <c r="V85" s="88" t="str">
        <f>P85</f>
        <v>Net Change</v>
      </c>
      <c r="W85" s="88" t="str">
        <f>Q85</f>
        <v>Replace-ment Demand</v>
      </c>
      <c r="X85" s="88" t="str">
        <f>R85</f>
        <v>Total Require-ment</v>
      </c>
      <c r="Y85" s="95"/>
      <c r="Z85" s="92" t="str">
        <f>Z6</f>
        <v>RD p.a%</v>
      </c>
      <c r="AA85" s="92" t="str">
        <f>AA6</f>
        <v>2015 Level</v>
      </c>
      <c r="AB85" s="92" t="str">
        <f>AB6</f>
        <v>Net Change</v>
      </c>
      <c r="AC85" s="92" t="str">
        <f>AC6</f>
        <v>Replace-ment Demand</v>
      </c>
      <c r="AD85" s="92" t="str">
        <f>AD6</f>
        <v>Total Require-ment</v>
      </c>
      <c r="AE85" s="91"/>
      <c r="AF85" s="87" t="str">
        <f>Z85</f>
        <v>RD p.a%</v>
      </c>
      <c r="AG85" s="87" t="str">
        <f>AA85</f>
        <v>2015 Level</v>
      </c>
      <c r="AH85" s="87" t="str">
        <f>AB85</f>
        <v>Net Change</v>
      </c>
      <c r="AI85" s="87" t="str">
        <f>AC85</f>
        <v>Replace-ment Demand</v>
      </c>
      <c r="AJ85" s="87" t="str">
        <f>AD85</f>
        <v>Total Require-ment</v>
      </c>
      <c r="AK85" s="86"/>
      <c r="AL85" s="88" t="str">
        <f>AF85</f>
        <v>RD p.a%</v>
      </c>
      <c r="AM85" s="88" t="str">
        <f>AG85</f>
        <v>2015 Level</v>
      </c>
      <c r="AN85" s="88" t="str">
        <f>AH85</f>
        <v>Net Change</v>
      </c>
      <c r="AO85" s="88" t="str">
        <f>AI85</f>
        <v>Replace-ment Demand</v>
      </c>
      <c r="AP85" s="88" t="str">
        <f>AJ85</f>
        <v>Total Require-ment</v>
      </c>
      <c r="AQ85" s="86"/>
      <c r="AR85" s="88" t="str">
        <f>AL85</f>
        <v>RD p.a%</v>
      </c>
      <c r="AS85" s="88" t="str">
        <f>AM85</f>
        <v>2015 Level</v>
      </c>
      <c r="AT85" s="88" t="str">
        <f>AN85</f>
        <v>Net Change</v>
      </c>
      <c r="AU85" s="88" t="str">
        <f>AO85</f>
        <v>Replace-ment Demand</v>
      </c>
      <c r="AV85" s="88" t="str">
        <f>AP85</f>
        <v>Total Require-ment</v>
      </c>
      <c r="AW85" s="95"/>
      <c r="AX85" s="92" t="str">
        <f>AX6</f>
        <v>RD p.a%</v>
      </c>
      <c r="AY85" s="92" t="str">
        <f>AY6</f>
        <v>2015 Level</v>
      </c>
      <c r="AZ85" s="92" t="str">
        <f>AZ6</f>
        <v>Net Change</v>
      </c>
      <c r="BA85" s="92" t="str">
        <f>BA6</f>
        <v>Replace-ment Demand</v>
      </c>
      <c r="BB85" s="92" t="str">
        <f>BB6</f>
        <v>Total Require-ment</v>
      </c>
      <c r="BC85" s="91"/>
      <c r="BD85" s="87" t="str">
        <f>AX85</f>
        <v>RD p.a%</v>
      </c>
      <c r="BE85" s="87" t="str">
        <f>AY85</f>
        <v>2015 Level</v>
      </c>
      <c r="BF85" s="87" t="str">
        <f>AZ85</f>
        <v>Net Change</v>
      </c>
      <c r="BG85" s="87" t="str">
        <f>BA85</f>
        <v>Replace-ment Demand</v>
      </c>
      <c r="BH85" s="87" t="str">
        <f>BB85</f>
        <v>Total Require-ment</v>
      </c>
      <c r="BI85" s="86"/>
      <c r="BJ85" s="88" t="str">
        <f>BD85</f>
        <v>RD p.a%</v>
      </c>
      <c r="BK85" s="88" t="str">
        <f>BE85</f>
        <v>2015 Level</v>
      </c>
      <c r="BL85" s="88" t="str">
        <f>BF85</f>
        <v>Net Change</v>
      </c>
      <c r="BM85" s="88" t="str">
        <f>BG85</f>
        <v>Replace-ment Demand</v>
      </c>
      <c r="BN85" s="88" t="str">
        <f>BH85</f>
        <v>Total Require-ment</v>
      </c>
      <c r="BO85" s="86"/>
      <c r="BP85" s="88" t="str">
        <f>BJ85</f>
        <v>RD p.a%</v>
      </c>
      <c r="BQ85" s="88" t="str">
        <f>BK85</f>
        <v>2015 Level</v>
      </c>
      <c r="BR85" s="88" t="str">
        <f>BL85</f>
        <v>Net Change</v>
      </c>
      <c r="BS85" s="88" t="str">
        <f>BM85</f>
        <v>Replace-ment Demand</v>
      </c>
      <c r="BT85" s="88" t="str">
        <f>BN85</f>
        <v>Total Require-ment</v>
      </c>
      <c r="BU85" s="95"/>
      <c r="BV85" s="92" t="str">
        <f>BV6</f>
        <v>RD p.a%</v>
      </c>
      <c r="BW85" s="92" t="str">
        <f>BW6</f>
        <v>2015 Level</v>
      </c>
      <c r="BX85" s="92" t="str">
        <f>BX6</f>
        <v>Net Change</v>
      </c>
      <c r="BY85" s="92" t="str">
        <f>BY6</f>
        <v>Replace-ment Demand</v>
      </c>
      <c r="BZ85" s="92" t="str">
        <f>BZ6</f>
        <v>Total Require-ment</v>
      </c>
      <c r="CA85" s="91"/>
      <c r="CB85" s="87" t="str">
        <f>BV85</f>
        <v>RD p.a%</v>
      </c>
      <c r="CC85" s="87" t="str">
        <f>BW85</f>
        <v>2015 Level</v>
      </c>
      <c r="CD85" s="87" t="str">
        <f>BX85</f>
        <v>Net Change</v>
      </c>
      <c r="CE85" s="87" t="str">
        <f>BY85</f>
        <v>Replace-ment Demand</v>
      </c>
      <c r="CF85" s="87" t="str">
        <f>BZ85</f>
        <v>Total Require-ment</v>
      </c>
      <c r="CG85" s="86"/>
      <c r="CH85" s="88" t="str">
        <f>CB85</f>
        <v>RD p.a%</v>
      </c>
      <c r="CI85" s="88" t="str">
        <f>CC85</f>
        <v>2015 Level</v>
      </c>
      <c r="CJ85" s="88" t="str">
        <f>CD85</f>
        <v>Net Change</v>
      </c>
      <c r="CK85" s="88" t="str">
        <f>CE85</f>
        <v>Replace-ment Demand</v>
      </c>
      <c r="CL85" s="88" t="str">
        <f>CF85</f>
        <v>Total Require-ment</v>
      </c>
      <c r="CM85" s="86"/>
      <c r="CN85" s="88" t="str">
        <f>CH85</f>
        <v>RD p.a%</v>
      </c>
      <c r="CO85" s="88" t="str">
        <f>CI85</f>
        <v>2015 Level</v>
      </c>
      <c r="CP85" s="88" t="str">
        <f>CJ85</f>
        <v>Net Change</v>
      </c>
      <c r="CQ85" s="88" t="str">
        <f>CK85</f>
        <v>Replace-ment Demand</v>
      </c>
      <c r="CR85" s="88" t="str">
        <f>CL85</f>
        <v>Total Require-ment</v>
      </c>
      <c r="CS85" s="95"/>
      <c r="CT85" s="92" t="str">
        <f>CT6</f>
        <v>RD p.a%</v>
      </c>
      <c r="CU85" s="92" t="str">
        <f>CU6</f>
        <v>2015 Level</v>
      </c>
      <c r="CV85" s="92" t="str">
        <f>CV6</f>
        <v>Net Change</v>
      </c>
      <c r="CW85" s="92" t="str">
        <f>CW6</f>
        <v>Replace-ment Demand</v>
      </c>
      <c r="CX85" s="92" t="str">
        <f>CX6</f>
        <v>Total Require-ment</v>
      </c>
      <c r="CY85" s="91"/>
      <c r="CZ85" s="87" t="str">
        <f>CT85</f>
        <v>RD p.a%</v>
      </c>
      <c r="DA85" s="87" t="str">
        <f>CU85</f>
        <v>2015 Level</v>
      </c>
      <c r="DB85" s="87" t="str">
        <f>CV85</f>
        <v>Net Change</v>
      </c>
      <c r="DC85" s="87" t="str">
        <f>CW85</f>
        <v>Replace-ment Demand</v>
      </c>
      <c r="DD85" s="87" t="str">
        <f>CX85</f>
        <v>Total Require-ment</v>
      </c>
      <c r="DE85" s="86"/>
      <c r="DF85" s="88" t="str">
        <f>CZ85</f>
        <v>RD p.a%</v>
      </c>
      <c r="DG85" s="88" t="str">
        <f>DA85</f>
        <v>2015 Level</v>
      </c>
      <c r="DH85" s="88" t="str">
        <f>DB85</f>
        <v>Net Change</v>
      </c>
      <c r="DI85" s="88" t="str">
        <f>DC85</f>
        <v>Replace-ment Demand</v>
      </c>
      <c r="DJ85" s="88" t="str">
        <f>DD85</f>
        <v>Total Require-ment</v>
      </c>
      <c r="DK85" s="86"/>
      <c r="DL85" s="88" t="str">
        <f>DF85</f>
        <v>RD p.a%</v>
      </c>
      <c r="DM85" s="88" t="str">
        <f>DG85</f>
        <v>2015 Level</v>
      </c>
      <c r="DN85" s="88" t="str">
        <f>DH85</f>
        <v>Net Change</v>
      </c>
      <c r="DO85" s="88" t="str">
        <f>DI85</f>
        <v>Replace-ment Demand</v>
      </c>
      <c r="DP85" s="88" t="str">
        <f>DJ85</f>
        <v>Total Require-ment</v>
      </c>
    </row>
    <row r="87" spans="1:120">
      <c r="A87" s="73" t="str">
        <f>name!C4</f>
        <v>Primary sector and utilities</v>
      </c>
      <c r="B87" s="31" t="e">
        <f t="shared" ref="B87:B94" si="68">IF(C87&gt;0,((1+(E87/C87))^(1/($A$101-$A$100))-1)*100,0)</f>
        <v>#REF!</v>
      </c>
      <c r="C87" s="76" t="e">
        <f t="array" ref="C87:C92">MMULT(aggregation!#REF!,BasicTable5!C8:C48)</f>
        <v>#REF!</v>
      </c>
      <c r="D87" s="76" t="e">
        <f t="array" ref="D87:D92">MMULT(aggregation!#REF!,BasicTable5!D8:D48)</f>
        <v>#REF!</v>
      </c>
      <c r="E87" s="76" t="e">
        <f t="array" ref="E87:E92">MMULT(aggregation!#REF!,BasicTable5!E8:E48)</f>
        <v>#REF!</v>
      </c>
      <c r="F87" s="76" t="e">
        <f t="array" ref="F87:F92">MMULT(aggregation!#REF!,BasicTable5!F8:F48)</f>
        <v>#REF!</v>
      </c>
      <c r="H87" s="31" t="e">
        <f t="shared" ref="H87:H94" si="69">IF(I87&gt;0,((1+(K87/I87))^(1/($A$101-$A$100))-1)*100,0)</f>
        <v>#REF!</v>
      </c>
      <c r="I87" s="76" t="e">
        <f t="array" ref="I87:I92">MMULT(aggregation!#REF!,BasicTable5!I8:I48)</f>
        <v>#REF!</v>
      </c>
      <c r="J87" s="76" t="e">
        <f t="array" ref="J87:J92">MMULT(aggregation!#REF!,BasicTable5!J8:J48)</f>
        <v>#REF!</v>
      </c>
      <c r="K87" s="76" t="e">
        <f t="array" ref="K87:K92">MMULT(aggregation!#REF!,BasicTable5!K8:K48)</f>
        <v>#REF!</v>
      </c>
      <c r="L87" s="76" t="e">
        <f t="array" ref="L87:L92">MMULT(aggregation!#REF!,BasicTable5!L8:L48)</f>
        <v>#REF!</v>
      </c>
      <c r="N87" s="31" t="e">
        <f t="shared" ref="N87:N94" si="70">IF(O87&gt;0,((1+(Q87/O87))^(1/($A$101-$A$100))-1)*100,0)</f>
        <v>#REF!</v>
      </c>
      <c r="O87" s="76" t="e">
        <f t="array" ref="O87:O92">MMULT(aggregation!#REF!,BasicTable5!O8:O48)</f>
        <v>#REF!</v>
      </c>
      <c r="P87" s="76" t="e">
        <f t="array" ref="P87:P92">MMULT(aggregation!#REF!,BasicTable5!P8:P48)</f>
        <v>#REF!</v>
      </c>
      <c r="Q87" s="76" t="e">
        <f t="array" ref="Q87:Q92">MMULT(aggregation!#REF!,BasicTable5!Q8:Q48)</f>
        <v>#REF!</v>
      </c>
      <c r="R87" s="76" t="e">
        <f t="array" ref="R87:R92">MMULT(aggregation!#REF!,BasicTable5!R8:R48)</f>
        <v>#REF!</v>
      </c>
      <c r="S87" s="76"/>
      <c r="T87" s="31" t="e">
        <f t="shared" ref="T87:T94" si="71">IF(U87&gt;0,((1+(W87/U87))^(1/($A$101-$A$100))-1)*100,0)</f>
        <v>#REF!</v>
      </c>
      <c r="U87" s="76" t="e">
        <f t="array" ref="U87:U92">MMULT(aggregation!#REF!,BasicTable5!U8:U48)</f>
        <v>#REF!</v>
      </c>
      <c r="V87" s="76" t="e">
        <f t="array" ref="V87:V92">MMULT(aggregation!#REF!,BasicTable5!V8:V48)</f>
        <v>#REF!</v>
      </c>
      <c r="W87" s="76" t="e">
        <f t="array" ref="W87:W92">MMULT(aggregation!#REF!,BasicTable5!W8:W48)</f>
        <v>#REF!</v>
      </c>
      <c r="X87" s="76" t="e">
        <f t="array" ref="X87:X92">MMULT(aggregation!#REF!,BasicTable5!X8:X48)</f>
        <v>#REF!</v>
      </c>
      <c r="Y87" s="73" t="str">
        <f t="shared" ref="Y87:Y92" si="72">A87</f>
        <v>Primary sector and utilities</v>
      </c>
      <c r="Z87" s="31" t="e">
        <f t="shared" ref="Z87:Z92" si="73">IF(AA87&gt;0,((1+(AC87/AA87))^(1/($A$101-$A$100))-1)*100,0)</f>
        <v>#REF!</v>
      </c>
      <c r="AA87" s="76" t="e">
        <f t="array" ref="AA87:AA92">MMULT(aggregation!#REF!,BasicTable5!AA8:AA48)</f>
        <v>#REF!</v>
      </c>
      <c r="AB87" s="76" t="e">
        <f t="array" ref="AB87:AB92">MMULT(aggregation!#REF!,BasicTable5!AB8:AB48)</f>
        <v>#REF!</v>
      </c>
      <c r="AC87" s="76" t="e">
        <f t="array" ref="AC87:AC92">MMULT(aggregation!#REF!,BasicTable5!AC8:AC48)</f>
        <v>#REF!</v>
      </c>
      <c r="AD87" s="76" t="e">
        <f t="array" ref="AD87:AD92">MMULT(aggregation!#REF!,BasicTable5!AD8:AD48)</f>
        <v>#REF!</v>
      </c>
      <c r="AF87" s="31" t="e">
        <f t="shared" ref="AF87:AF92" si="74">IF(AG87&gt;0,((1+(AI87/AG87))^(1/($A$101-$A$100))-1)*100,0)</f>
        <v>#REF!</v>
      </c>
      <c r="AG87" s="76" t="e">
        <f t="array" ref="AG87:AG92">MMULT(aggregation!#REF!,BasicTable5!AG8:AG48)</f>
        <v>#REF!</v>
      </c>
      <c r="AH87" s="76" t="e">
        <f t="array" ref="AH87:AH92">MMULT(aggregation!#REF!,BasicTable5!AH8:AH48)</f>
        <v>#REF!</v>
      </c>
      <c r="AI87" s="76" t="e">
        <f t="array" ref="AI87:AI92">MMULT(aggregation!#REF!,BasicTable5!AI8:AI48)</f>
        <v>#REF!</v>
      </c>
      <c r="AJ87" s="76" t="e">
        <f t="array" ref="AJ87:AJ92">MMULT(aggregation!#REF!,BasicTable5!AJ8:AJ48)</f>
        <v>#REF!</v>
      </c>
      <c r="AL87" s="31" t="e">
        <f t="shared" ref="AL87:AL92" si="75">IF(AM87&gt;0,((1+(AO87/AM87))^(1/($A$101-$A$100))-1)*100,0)</f>
        <v>#REF!</v>
      </c>
      <c r="AM87" s="76" t="e">
        <f t="array" ref="AM87:AM92">MMULT(aggregation!#REF!,BasicTable5!AM8:AM48)</f>
        <v>#REF!</v>
      </c>
      <c r="AN87" s="76" t="e">
        <f t="array" ref="AN87:AN92">MMULT(aggregation!#REF!,BasicTable5!AN8:AN48)</f>
        <v>#REF!</v>
      </c>
      <c r="AO87" s="76" t="e">
        <f t="array" ref="AO87:AO92">MMULT(aggregation!#REF!,BasicTable5!AO8:AO48)</f>
        <v>#REF!</v>
      </c>
      <c r="AP87" s="76" t="e">
        <f t="array" ref="AP87:AP92">MMULT(aggregation!#REF!,BasicTable5!AP8:AP48)</f>
        <v>#REF!</v>
      </c>
      <c r="AQ87" s="76"/>
      <c r="AR87" s="31" t="e">
        <f t="shared" ref="AR87:AR92" si="76">IF(AS87&gt;0,((1+(AU87/AS87))^(1/($A$101-$A$100))-1)*100,0)</f>
        <v>#REF!</v>
      </c>
      <c r="AS87" s="76" t="e">
        <f t="array" ref="AS87:AS92">MMULT(aggregation!#REF!,BasicTable5!AS8:AS48)</f>
        <v>#REF!</v>
      </c>
      <c r="AT87" s="76" t="e">
        <f t="array" ref="AT87:AT92">MMULT(aggregation!#REF!,BasicTable5!AT8:AT48)</f>
        <v>#REF!</v>
      </c>
      <c r="AU87" s="76" t="e">
        <f t="array" ref="AU87:AU92">MMULT(aggregation!#REF!,BasicTable5!AU8:AU48)</f>
        <v>#REF!</v>
      </c>
      <c r="AV87" s="76" t="e">
        <f t="array" ref="AV87:AV92">MMULT(aggregation!#REF!,BasicTable5!AV8:AV48)</f>
        <v>#REF!</v>
      </c>
      <c r="AW87" s="73" t="str">
        <f t="shared" ref="AW87:AW92" si="77">Y87</f>
        <v>Primary sector and utilities</v>
      </c>
      <c r="AX87" s="31" t="e">
        <f t="shared" ref="AX87:AX92" si="78">IF(AY87&gt;0,((1+(BA87/AY87))^(1/($A$101-$A$100))-1)*100,0)</f>
        <v>#REF!</v>
      </c>
      <c r="AY87" s="76" t="e">
        <f t="array" ref="AY87:AY92">MMULT(aggregation!#REF!,BasicTable5!AY8:AY48)</f>
        <v>#REF!</v>
      </c>
      <c r="AZ87" s="76" t="e">
        <f t="array" ref="AZ87:AZ92">MMULT(aggregation!#REF!,BasicTable5!AZ8:AZ48)</f>
        <v>#REF!</v>
      </c>
      <c r="BA87" s="76" t="e">
        <f t="array" ref="BA87:BA92">MMULT(aggregation!#REF!,BasicTable5!BA8:BA48)</f>
        <v>#REF!</v>
      </c>
      <c r="BB87" s="76" t="e">
        <f t="array" ref="BB87:BB92">MMULT(aggregation!#REF!,BasicTable5!BB8:BB48)</f>
        <v>#REF!</v>
      </c>
      <c r="BD87" s="31" t="e">
        <f t="shared" ref="BD87:BD92" si="79">IF(BE87&gt;0,((1+(BG87/BE87))^(1/($A$101-$A$100))-1)*100,0)</f>
        <v>#REF!</v>
      </c>
      <c r="BE87" s="76" t="e">
        <f t="array" ref="BE87:BE92">MMULT(aggregation!#REF!,BasicTable5!BE8:BE48)</f>
        <v>#REF!</v>
      </c>
      <c r="BF87" s="76" t="e">
        <f t="array" ref="BF87:BF92">MMULT(aggregation!#REF!,BasicTable5!BF8:BF48)</f>
        <v>#REF!</v>
      </c>
      <c r="BG87" s="76" t="e">
        <f t="array" ref="BG87:BG92">MMULT(aggregation!#REF!,BasicTable5!BG8:BG48)</f>
        <v>#REF!</v>
      </c>
      <c r="BH87" s="76" t="e">
        <f t="array" ref="BH87:BH92">MMULT(aggregation!#REF!,BasicTable5!BH8:BH48)</f>
        <v>#REF!</v>
      </c>
      <c r="BJ87" s="31" t="e">
        <f t="shared" ref="BJ87:BJ92" si="80">IF(BK87&gt;0,((1+(BM87/BK87))^(1/($A$101-$A$100))-1)*100,0)</f>
        <v>#REF!</v>
      </c>
      <c r="BK87" s="76" t="e">
        <f t="array" ref="BK87:BK92">MMULT(aggregation!#REF!,BasicTable5!BK8:BK48)</f>
        <v>#REF!</v>
      </c>
      <c r="BL87" s="76" t="e">
        <f t="array" ref="BL87:BL92">MMULT(aggregation!#REF!,BasicTable5!BL8:BL48)</f>
        <v>#REF!</v>
      </c>
      <c r="BM87" s="76" t="e">
        <f t="array" ref="BM87:BM92">MMULT(aggregation!#REF!,BasicTable5!BM8:BM48)</f>
        <v>#REF!</v>
      </c>
      <c r="BN87" s="76" t="e">
        <f t="array" ref="BN87:BN92">MMULT(aggregation!#REF!,BasicTable5!BN8:BN48)</f>
        <v>#REF!</v>
      </c>
      <c r="BO87" s="76"/>
      <c r="BP87" s="31" t="e">
        <f t="shared" ref="BP87:BP92" si="81">IF(BQ87&gt;0,((1+(BS87/BQ87))^(1/($A$101-$A$100))-1)*100,0)</f>
        <v>#REF!</v>
      </c>
      <c r="BQ87" s="76" t="e">
        <f t="array" ref="BQ87:BQ92">MMULT(aggregation!#REF!,BasicTable5!BQ8:BQ48)</f>
        <v>#REF!</v>
      </c>
      <c r="BR87" s="76" t="e">
        <f t="array" ref="BR87:BR92">MMULT(aggregation!#REF!,BasicTable5!BR8:BR48)</f>
        <v>#REF!</v>
      </c>
      <c r="BS87" s="76" t="e">
        <f t="array" ref="BS87:BS92">MMULT(aggregation!#REF!,BasicTable5!BS8:BS48)</f>
        <v>#REF!</v>
      </c>
      <c r="BT87" s="76" t="e">
        <f t="array" ref="BT87:BT92">MMULT(aggregation!#REF!,BasicTable5!BT8:BT48)</f>
        <v>#REF!</v>
      </c>
      <c r="BU87" s="73" t="str">
        <f t="shared" ref="BU87:BU92" si="82">AW87</f>
        <v>Primary sector and utilities</v>
      </c>
      <c r="BV87" s="31" t="e">
        <f t="shared" ref="BV87:BV92" si="83">IF(BW87&gt;0,((1+(BY87/BW87))^(1/($A$101-$A$100))-1)*100,0)</f>
        <v>#REF!</v>
      </c>
      <c r="BW87" s="76" t="e">
        <f t="array" ref="BW87:BW92">MMULT(aggregation!#REF!,BasicTable5!BW8:BW48)</f>
        <v>#REF!</v>
      </c>
      <c r="BX87" s="76" t="e">
        <f t="array" ref="BX87:BX92">MMULT(aggregation!#REF!,BasicTable5!BX8:BX48)</f>
        <v>#REF!</v>
      </c>
      <c r="BY87" s="76" t="e">
        <f t="array" ref="BY87:BY92">MMULT(aggregation!#REF!,BasicTable5!BY8:BY48)</f>
        <v>#REF!</v>
      </c>
      <c r="BZ87" s="76" t="e">
        <f t="array" ref="BZ87:BZ92">MMULT(aggregation!#REF!,BasicTable5!BZ8:BZ48)</f>
        <v>#REF!</v>
      </c>
      <c r="CB87" s="31" t="e">
        <f t="shared" ref="CB87:CB92" si="84">IF(CC87&gt;0,((1+(CE87/CC87))^(1/($A$101-$A$100))-1)*100,0)</f>
        <v>#REF!</v>
      </c>
      <c r="CC87" s="76" t="e">
        <f t="array" ref="CC87:CC92">MMULT(aggregation!#REF!,BasicTable5!CC8:CC48)</f>
        <v>#REF!</v>
      </c>
      <c r="CD87" s="76" t="e">
        <f t="array" ref="CD87:CD92">MMULT(aggregation!#REF!,BasicTable5!CD8:CD48)</f>
        <v>#REF!</v>
      </c>
      <c r="CE87" s="76" t="e">
        <f t="array" ref="CE87:CE92">MMULT(aggregation!#REF!,BasicTable5!CE8:CE48)</f>
        <v>#REF!</v>
      </c>
      <c r="CF87" s="76" t="e">
        <f t="array" ref="CF87:CF92">MMULT(aggregation!#REF!,BasicTable5!CF8:CF48)</f>
        <v>#REF!</v>
      </c>
      <c r="CH87" s="31" t="e">
        <f t="shared" ref="CH87:CH92" si="85">IF(CI87&gt;0,((1+(CK87/CI87))^(1/($A$101-$A$100))-1)*100,0)</f>
        <v>#REF!</v>
      </c>
      <c r="CI87" s="76" t="e">
        <f t="array" ref="CI87:CI92">MMULT(aggregation!#REF!,BasicTable5!CI8:CI48)</f>
        <v>#REF!</v>
      </c>
      <c r="CJ87" s="76" t="e">
        <f t="array" ref="CJ87:CJ92">MMULT(aggregation!#REF!,BasicTable5!CJ8:CJ48)</f>
        <v>#REF!</v>
      </c>
      <c r="CK87" s="76" t="e">
        <f t="array" ref="CK87:CK92">MMULT(aggregation!#REF!,BasicTable5!CK8:CK48)</f>
        <v>#REF!</v>
      </c>
      <c r="CL87" s="76" t="e">
        <f t="array" ref="CL87:CL92">MMULT(aggregation!#REF!,BasicTable5!CL8:CL48)</f>
        <v>#REF!</v>
      </c>
      <c r="CM87" s="76"/>
      <c r="CN87" s="31" t="e">
        <f t="shared" ref="CN87:CN92" si="86">IF(CO87&gt;0,((1+(CQ87/CO87))^(1/($A$101-$A$100))-1)*100,0)</f>
        <v>#REF!</v>
      </c>
      <c r="CO87" s="76" t="e">
        <f t="array" ref="CO87:CO92">MMULT(aggregation!#REF!,BasicTable5!CO8:CO48)</f>
        <v>#REF!</v>
      </c>
      <c r="CP87" s="76" t="e">
        <f t="array" ref="CP87:CP92">MMULT(aggregation!#REF!,BasicTable5!CP8:CP48)</f>
        <v>#REF!</v>
      </c>
      <c r="CQ87" s="76" t="e">
        <f t="array" ref="CQ87:CQ92">MMULT(aggregation!#REF!,BasicTable5!CQ8:CQ48)</f>
        <v>#REF!</v>
      </c>
      <c r="CR87" s="76" t="e">
        <f t="array" ref="CR87:CR92">MMULT(aggregation!#REF!,BasicTable5!CR8:CR48)</f>
        <v>#REF!</v>
      </c>
      <c r="CS87" s="73" t="str">
        <f t="shared" ref="CS87:CS92" si="87">BU87</f>
        <v>Primary sector and utilities</v>
      </c>
      <c r="CT87" s="31" t="e">
        <f t="shared" ref="CT87:CT92" si="88">IF(CU87&gt;0,((1+(CW87/CU87))^(1/($A$101-$A$100))-1)*100,0)</f>
        <v>#REF!</v>
      </c>
      <c r="CU87" s="76" t="e">
        <f t="array" ref="CU87:CU92">MMULT(aggregation!#REF!,BasicTable5!CU8:CU48)</f>
        <v>#REF!</v>
      </c>
      <c r="CV87" s="76" t="e">
        <f t="array" ref="CV87:CV92">MMULT(aggregation!#REF!,BasicTable5!CV8:CV48)</f>
        <v>#REF!</v>
      </c>
      <c r="CW87" s="76" t="e">
        <f t="array" ref="CW87:CW92">MMULT(aggregation!#REF!,BasicTable5!CW8:CW48)</f>
        <v>#REF!</v>
      </c>
      <c r="CX87" s="76" t="e">
        <f t="array" ref="CX87:CX92">MMULT(aggregation!#REF!,BasicTable5!CX8:CX48)</f>
        <v>#REF!</v>
      </c>
      <c r="CZ87" s="31" t="e">
        <f t="shared" ref="CZ87:CZ92" si="89">IF(DA87&gt;0,((1+(DC87/DA87))^(1/($A$101-$A$100))-1)*100,0)</f>
        <v>#REF!</v>
      </c>
      <c r="DA87" s="76" t="e">
        <f t="array" ref="DA87:DA92">MMULT(aggregation!#REF!,BasicTable5!DA8:DA48)</f>
        <v>#REF!</v>
      </c>
      <c r="DB87" s="76" t="e">
        <f t="array" ref="DB87:DB92">MMULT(aggregation!#REF!,BasicTable5!DB8:DB48)</f>
        <v>#REF!</v>
      </c>
      <c r="DC87" s="76" t="e">
        <f t="array" ref="DC87:DC92">MMULT(aggregation!#REF!,BasicTable5!DC8:DC48)</f>
        <v>#REF!</v>
      </c>
      <c r="DD87" s="76" t="e">
        <f t="array" ref="DD87:DD92">MMULT(aggregation!#REF!,BasicTable5!DD8:DD48)</f>
        <v>#REF!</v>
      </c>
      <c r="DF87" s="31" t="e">
        <f t="shared" ref="DF87:DF92" si="90">IF(DG87&gt;0,((1+(DI87/DG87))^(1/($A$101-$A$100))-1)*100,0)</f>
        <v>#REF!</v>
      </c>
      <c r="DG87" s="76" t="e">
        <f t="array" ref="DG87:DG92">MMULT(aggregation!#REF!,BasicTable5!DG8:DG48)</f>
        <v>#REF!</v>
      </c>
      <c r="DH87" s="76" t="e">
        <f t="array" ref="DH87:DH92">MMULT(aggregation!#REF!,BasicTable5!DH8:DH48)</f>
        <v>#REF!</v>
      </c>
      <c r="DI87" s="76" t="e">
        <f t="array" ref="DI87:DI92">MMULT(aggregation!#REF!,BasicTable5!DI8:DI48)</f>
        <v>#REF!</v>
      </c>
      <c r="DJ87" s="76" t="e">
        <f t="array" ref="DJ87:DJ92">MMULT(aggregation!#REF!,BasicTable5!DJ8:DJ48)</f>
        <v>#REF!</v>
      </c>
      <c r="DK87" s="76"/>
      <c r="DL87" s="31" t="e">
        <f t="shared" ref="DL87:DL92" si="91">IF(DM87&gt;0,((1+(DO87/DM87))^(1/($A$101-$A$100))-1)*100,0)</f>
        <v>#REF!</v>
      </c>
      <c r="DM87" s="76" t="e">
        <f t="array" ref="DM87:DM92">MMULT(aggregation!#REF!,BasicTable5!DM8:DM48)</f>
        <v>#REF!</v>
      </c>
      <c r="DN87" s="76" t="e">
        <f t="array" ref="DN87:DN92">MMULT(aggregation!#REF!,BasicTable5!DN8:DN48)</f>
        <v>#REF!</v>
      </c>
      <c r="DO87" s="76" t="e">
        <f t="array" ref="DO87:DO92">MMULT(aggregation!#REF!,BasicTable5!DO8:DO48)</f>
        <v>#REF!</v>
      </c>
      <c r="DP87" s="76" t="e">
        <f t="array" ref="DP87:DP92">MMULT(aggregation!#REF!,BasicTable5!DP8:DP48)</f>
        <v>#REF!</v>
      </c>
    </row>
    <row r="88" spans="1:120">
      <c r="A88" s="73" t="str">
        <f>name!C5</f>
        <v>Manufacturing</v>
      </c>
      <c r="B88" s="31" t="e">
        <f t="shared" si="68"/>
        <v>#REF!</v>
      </c>
      <c r="C88" s="76" t="e">
        <v>#REF!</v>
      </c>
      <c r="D88" s="76" t="e">
        <v>#REF!</v>
      </c>
      <c r="E88" s="76" t="e">
        <v>#REF!</v>
      </c>
      <c r="F88" s="76" t="e">
        <v>#REF!</v>
      </c>
      <c r="H88" s="31" t="e">
        <f t="shared" si="69"/>
        <v>#REF!</v>
      </c>
      <c r="I88" s="76" t="e">
        <v>#REF!</v>
      </c>
      <c r="J88" s="76" t="e">
        <v>#REF!</v>
      </c>
      <c r="K88" s="76" t="e">
        <v>#REF!</v>
      </c>
      <c r="L88" s="76" t="e">
        <v>#REF!</v>
      </c>
      <c r="N88" s="31" t="e">
        <f t="shared" si="70"/>
        <v>#REF!</v>
      </c>
      <c r="O88" s="76" t="e">
        <v>#REF!</v>
      </c>
      <c r="P88" s="76" t="e">
        <v>#REF!</v>
      </c>
      <c r="Q88" s="76" t="e">
        <v>#REF!</v>
      </c>
      <c r="R88" s="76" t="e">
        <v>#REF!</v>
      </c>
      <c r="S88" s="76"/>
      <c r="T88" s="31" t="e">
        <f t="shared" si="71"/>
        <v>#REF!</v>
      </c>
      <c r="U88" s="76" t="e">
        <v>#REF!</v>
      </c>
      <c r="V88" s="76" t="e">
        <v>#REF!</v>
      </c>
      <c r="W88" s="76" t="e">
        <v>#REF!</v>
      </c>
      <c r="X88" s="76" t="e">
        <v>#REF!</v>
      </c>
      <c r="Y88" s="73" t="str">
        <f t="shared" si="72"/>
        <v>Manufacturing</v>
      </c>
      <c r="Z88" s="31" t="e">
        <f t="shared" si="73"/>
        <v>#REF!</v>
      </c>
      <c r="AA88" s="76" t="e">
        <v>#REF!</v>
      </c>
      <c r="AB88" s="76" t="e">
        <v>#REF!</v>
      </c>
      <c r="AC88" s="76" t="e">
        <v>#REF!</v>
      </c>
      <c r="AD88" s="76" t="e">
        <v>#REF!</v>
      </c>
      <c r="AF88" s="31" t="e">
        <f t="shared" si="74"/>
        <v>#REF!</v>
      </c>
      <c r="AG88" s="76" t="e">
        <v>#REF!</v>
      </c>
      <c r="AH88" s="76" t="e">
        <v>#REF!</v>
      </c>
      <c r="AI88" s="76" t="e">
        <v>#REF!</v>
      </c>
      <c r="AJ88" s="76" t="e">
        <v>#REF!</v>
      </c>
      <c r="AL88" s="31" t="e">
        <f t="shared" si="75"/>
        <v>#REF!</v>
      </c>
      <c r="AM88" s="76" t="e">
        <v>#REF!</v>
      </c>
      <c r="AN88" s="76" t="e">
        <v>#REF!</v>
      </c>
      <c r="AO88" s="76" t="e">
        <v>#REF!</v>
      </c>
      <c r="AP88" s="76" t="e">
        <v>#REF!</v>
      </c>
      <c r="AQ88" s="76"/>
      <c r="AR88" s="31" t="e">
        <f t="shared" si="76"/>
        <v>#REF!</v>
      </c>
      <c r="AS88" s="76" t="e">
        <v>#REF!</v>
      </c>
      <c r="AT88" s="76" t="e">
        <v>#REF!</v>
      </c>
      <c r="AU88" s="76" t="e">
        <v>#REF!</v>
      </c>
      <c r="AV88" s="76" t="e">
        <v>#REF!</v>
      </c>
      <c r="AW88" s="73" t="str">
        <f t="shared" si="77"/>
        <v>Manufacturing</v>
      </c>
      <c r="AX88" s="31" t="e">
        <f t="shared" si="78"/>
        <v>#REF!</v>
      </c>
      <c r="AY88" s="76" t="e">
        <v>#REF!</v>
      </c>
      <c r="AZ88" s="76" t="e">
        <v>#REF!</v>
      </c>
      <c r="BA88" s="76" t="e">
        <v>#REF!</v>
      </c>
      <c r="BB88" s="76" t="e">
        <v>#REF!</v>
      </c>
      <c r="BD88" s="31" t="e">
        <f t="shared" si="79"/>
        <v>#REF!</v>
      </c>
      <c r="BE88" s="76" t="e">
        <v>#REF!</v>
      </c>
      <c r="BF88" s="76" t="e">
        <v>#REF!</v>
      </c>
      <c r="BG88" s="76" t="e">
        <v>#REF!</v>
      </c>
      <c r="BH88" s="76" t="e">
        <v>#REF!</v>
      </c>
      <c r="BJ88" s="31" t="e">
        <f t="shared" si="80"/>
        <v>#REF!</v>
      </c>
      <c r="BK88" s="76" t="e">
        <v>#REF!</v>
      </c>
      <c r="BL88" s="76" t="e">
        <v>#REF!</v>
      </c>
      <c r="BM88" s="76" t="e">
        <v>#REF!</v>
      </c>
      <c r="BN88" s="76" t="e">
        <v>#REF!</v>
      </c>
      <c r="BO88" s="76"/>
      <c r="BP88" s="31" t="e">
        <f t="shared" si="81"/>
        <v>#REF!</v>
      </c>
      <c r="BQ88" s="76" t="e">
        <v>#REF!</v>
      </c>
      <c r="BR88" s="76" t="e">
        <v>#REF!</v>
      </c>
      <c r="BS88" s="76" t="e">
        <v>#REF!</v>
      </c>
      <c r="BT88" s="76" t="e">
        <v>#REF!</v>
      </c>
      <c r="BU88" s="73" t="str">
        <f t="shared" si="82"/>
        <v>Manufacturing</v>
      </c>
      <c r="BV88" s="31" t="e">
        <f t="shared" si="83"/>
        <v>#REF!</v>
      </c>
      <c r="BW88" s="76" t="e">
        <v>#REF!</v>
      </c>
      <c r="BX88" s="76" t="e">
        <v>#REF!</v>
      </c>
      <c r="BY88" s="76" t="e">
        <v>#REF!</v>
      </c>
      <c r="BZ88" s="76" t="e">
        <v>#REF!</v>
      </c>
      <c r="CB88" s="31" t="e">
        <f t="shared" si="84"/>
        <v>#REF!</v>
      </c>
      <c r="CC88" s="76" t="e">
        <v>#REF!</v>
      </c>
      <c r="CD88" s="76" t="e">
        <v>#REF!</v>
      </c>
      <c r="CE88" s="76" t="e">
        <v>#REF!</v>
      </c>
      <c r="CF88" s="76" t="e">
        <v>#REF!</v>
      </c>
      <c r="CH88" s="31" t="e">
        <f t="shared" si="85"/>
        <v>#REF!</v>
      </c>
      <c r="CI88" s="76" t="e">
        <v>#REF!</v>
      </c>
      <c r="CJ88" s="76" t="e">
        <v>#REF!</v>
      </c>
      <c r="CK88" s="76" t="e">
        <v>#REF!</v>
      </c>
      <c r="CL88" s="76" t="e">
        <v>#REF!</v>
      </c>
      <c r="CM88" s="76"/>
      <c r="CN88" s="31" t="e">
        <f t="shared" si="86"/>
        <v>#REF!</v>
      </c>
      <c r="CO88" s="76" t="e">
        <v>#REF!</v>
      </c>
      <c r="CP88" s="76" t="e">
        <v>#REF!</v>
      </c>
      <c r="CQ88" s="76" t="e">
        <v>#REF!</v>
      </c>
      <c r="CR88" s="76" t="e">
        <v>#REF!</v>
      </c>
      <c r="CS88" s="73" t="str">
        <f t="shared" si="87"/>
        <v>Manufacturing</v>
      </c>
      <c r="CT88" s="31" t="e">
        <f t="shared" si="88"/>
        <v>#REF!</v>
      </c>
      <c r="CU88" s="76" t="e">
        <v>#REF!</v>
      </c>
      <c r="CV88" s="76" t="e">
        <v>#REF!</v>
      </c>
      <c r="CW88" s="76" t="e">
        <v>#REF!</v>
      </c>
      <c r="CX88" s="76" t="e">
        <v>#REF!</v>
      </c>
      <c r="CZ88" s="31" t="e">
        <f t="shared" si="89"/>
        <v>#REF!</v>
      </c>
      <c r="DA88" s="76" t="e">
        <v>#REF!</v>
      </c>
      <c r="DB88" s="76" t="e">
        <v>#REF!</v>
      </c>
      <c r="DC88" s="76" t="e">
        <v>#REF!</v>
      </c>
      <c r="DD88" s="76" t="e">
        <v>#REF!</v>
      </c>
      <c r="DF88" s="31" t="e">
        <f t="shared" si="90"/>
        <v>#REF!</v>
      </c>
      <c r="DG88" s="76" t="e">
        <v>#REF!</v>
      </c>
      <c r="DH88" s="76" t="e">
        <v>#REF!</v>
      </c>
      <c r="DI88" s="76" t="e">
        <v>#REF!</v>
      </c>
      <c r="DJ88" s="76" t="e">
        <v>#REF!</v>
      </c>
      <c r="DK88" s="76"/>
      <c r="DL88" s="31" t="e">
        <f t="shared" si="91"/>
        <v>#REF!</v>
      </c>
      <c r="DM88" s="76" t="e">
        <v>#REF!</v>
      </c>
      <c r="DN88" s="76" t="e">
        <v>#REF!</v>
      </c>
      <c r="DO88" s="76" t="e">
        <v>#REF!</v>
      </c>
      <c r="DP88" s="76" t="e">
        <v>#REF!</v>
      </c>
    </row>
    <row r="89" spans="1:120">
      <c r="A89" s="73" t="str">
        <f>name!C6</f>
        <v>Construction</v>
      </c>
      <c r="B89" s="31" t="e">
        <f t="shared" si="68"/>
        <v>#REF!</v>
      </c>
      <c r="C89" s="76" t="e">
        <v>#REF!</v>
      </c>
      <c r="D89" s="76" t="e">
        <v>#REF!</v>
      </c>
      <c r="E89" s="76" t="e">
        <v>#REF!</v>
      </c>
      <c r="F89" s="76" t="e">
        <v>#REF!</v>
      </c>
      <c r="H89" s="31" t="e">
        <f t="shared" si="69"/>
        <v>#REF!</v>
      </c>
      <c r="I89" s="76" t="e">
        <v>#REF!</v>
      </c>
      <c r="J89" s="76" t="e">
        <v>#REF!</v>
      </c>
      <c r="K89" s="76" t="e">
        <v>#REF!</v>
      </c>
      <c r="L89" s="76" t="e">
        <v>#REF!</v>
      </c>
      <c r="N89" s="31" t="e">
        <f t="shared" si="70"/>
        <v>#REF!</v>
      </c>
      <c r="O89" s="76" t="e">
        <v>#REF!</v>
      </c>
      <c r="P89" s="76" t="e">
        <v>#REF!</v>
      </c>
      <c r="Q89" s="76" t="e">
        <v>#REF!</v>
      </c>
      <c r="R89" s="76" t="e">
        <v>#REF!</v>
      </c>
      <c r="S89" s="76"/>
      <c r="T89" s="31" t="e">
        <f t="shared" si="71"/>
        <v>#REF!</v>
      </c>
      <c r="U89" s="76" t="e">
        <v>#REF!</v>
      </c>
      <c r="V89" s="76" t="e">
        <v>#REF!</v>
      </c>
      <c r="W89" s="76" t="e">
        <v>#REF!</v>
      </c>
      <c r="X89" s="76" t="e">
        <v>#REF!</v>
      </c>
      <c r="Y89" s="73" t="str">
        <f t="shared" si="72"/>
        <v>Construction</v>
      </c>
      <c r="Z89" s="31" t="e">
        <f t="shared" si="73"/>
        <v>#REF!</v>
      </c>
      <c r="AA89" s="76" t="e">
        <v>#REF!</v>
      </c>
      <c r="AB89" s="76" t="e">
        <v>#REF!</v>
      </c>
      <c r="AC89" s="76" t="e">
        <v>#REF!</v>
      </c>
      <c r="AD89" s="76" t="e">
        <v>#REF!</v>
      </c>
      <c r="AF89" s="31" t="e">
        <f t="shared" si="74"/>
        <v>#REF!</v>
      </c>
      <c r="AG89" s="76" t="e">
        <v>#REF!</v>
      </c>
      <c r="AH89" s="76" t="e">
        <v>#REF!</v>
      </c>
      <c r="AI89" s="76" t="e">
        <v>#REF!</v>
      </c>
      <c r="AJ89" s="76" t="e">
        <v>#REF!</v>
      </c>
      <c r="AL89" s="31" t="e">
        <f t="shared" si="75"/>
        <v>#REF!</v>
      </c>
      <c r="AM89" s="76" t="e">
        <v>#REF!</v>
      </c>
      <c r="AN89" s="76" t="e">
        <v>#REF!</v>
      </c>
      <c r="AO89" s="76" t="e">
        <v>#REF!</v>
      </c>
      <c r="AP89" s="76" t="e">
        <v>#REF!</v>
      </c>
      <c r="AQ89" s="76"/>
      <c r="AR89" s="31" t="e">
        <f t="shared" si="76"/>
        <v>#REF!</v>
      </c>
      <c r="AS89" s="76" t="e">
        <v>#REF!</v>
      </c>
      <c r="AT89" s="76" t="e">
        <v>#REF!</v>
      </c>
      <c r="AU89" s="76" t="e">
        <v>#REF!</v>
      </c>
      <c r="AV89" s="76" t="e">
        <v>#REF!</v>
      </c>
      <c r="AW89" s="73" t="str">
        <f t="shared" si="77"/>
        <v>Construction</v>
      </c>
      <c r="AX89" s="31" t="e">
        <f t="shared" si="78"/>
        <v>#REF!</v>
      </c>
      <c r="AY89" s="76" t="e">
        <v>#REF!</v>
      </c>
      <c r="AZ89" s="76" t="e">
        <v>#REF!</v>
      </c>
      <c r="BA89" s="76" t="e">
        <v>#REF!</v>
      </c>
      <c r="BB89" s="76" t="e">
        <v>#REF!</v>
      </c>
      <c r="BD89" s="31" t="e">
        <f t="shared" si="79"/>
        <v>#REF!</v>
      </c>
      <c r="BE89" s="76" t="e">
        <v>#REF!</v>
      </c>
      <c r="BF89" s="76" t="e">
        <v>#REF!</v>
      </c>
      <c r="BG89" s="76" t="e">
        <v>#REF!</v>
      </c>
      <c r="BH89" s="76" t="e">
        <v>#REF!</v>
      </c>
      <c r="BJ89" s="31" t="e">
        <f t="shared" si="80"/>
        <v>#REF!</v>
      </c>
      <c r="BK89" s="76" t="e">
        <v>#REF!</v>
      </c>
      <c r="BL89" s="76" t="e">
        <v>#REF!</v>
      </c>
      <c r="BM89" s="76" t="e">
        <v>#REF!</v>
      </c>
      <c r="BN89" s="76" t="e">
        <v>#REF!</v>
      </c>
      <c r="BO89" s="76"/>
      <c r="BP89" s="31" t="e">
        <f t="shared" si="81"/>
        <v>#REF!</v>
      </c>
      <c r="BQ89" s="76" t="e">
        <v>#REF!</v>
      </c>
      <c r="BR89" s="76" t="e">
        <v>#REF!</v>
      </c>
      <c r="BS89" s="76" t="e">
        <v>#REF!</v>
      </c>
      <c r="BT89" s="76" t="e">
        <v>#REF!</v>
      </c>
      <c r="BU89" s="73" t="str">
        <f t="shared" si="82"/>
        <v>Construction</v>
      </c>
      <c r="BV89" s="31" t="e">
        <f t="shared" si="83"/>
        <v>#REF!</v>
      </c>
      <c r="BW89" s="76" t="e">
        <v>#REF!</v>
      </c>
      <c r="BX89" s="76" t="e">
        <v>#REF!</v>
      </c>
      <c r="BY89" s="76" t="e">
        <v>#REF!</v>
      </c>
      <c r="BZ89" s="76" t="e">
        <v>#REF!</v>
      </c>
      <c r="CB89" s="31" t="e">
        <f t="shared" si="84"/>
        <v>#REF!</v>
      </c>
      <c r="CC89" s="76" t="e">
        <v>#REF!</v>
      </c>
      <c r="CD89" s="76" t="e">
        <v>#REF!</v>
      </c>
      <c r="CE89" s="76" t="e">
        <v>#REF!</v>
      </c>
      <c r="CF89" s="76" t="e">
        <v>#REF!</v>
      </c>
      <c r="CH89" s="31" t="e">
        <f t="shared" si="85"/>
        <v>#REF!</v>
      </c>
      <c r="CI89" s="76" t="e">
        <v>#REF!</v>
      </c>
      <c r="CJ89" s="76" t="e">
        <v>#REF!</v>
      </c>
      <c r="CK89" s="76" t="e">
        <v>#REF!</v>
      </c>
      <c r="CL89" s="76" t="e">
        <v>#REF!</v>
      </c>
      <c r="CM89" s="76"/>
      <c r="CN89" s="31" t="e">
        <f t="shared" si="86"/>
        <v>#REF!</v>
      </c>
      <c r="CO89" s="76" t="e">
        <v>#REF!</v>
      </c>
      <c r="CP89" s="76" t="e">
        <v>#REF!</v>
      </c>
      <c r="CQ89" s="76" t="e">
        <v>#REF!</v>
      </c>
      <c r="CR89" s="76" t="e">
        <v>#REF!</v>
      </c>
      <c r="CS89" s="73" t="str">
        <f t="shared" si="87"/>
        <v>Construction</v>
      </c>
      <c r="CT89" s="31" t="e">
        <f t="shared" si="88"/>
        <v>#REF!</v>
      </c>
      <c r="CU89" s="76" t="e">
        <v>#REF!</v>
      </c>
      <c r="CV89" s="76" t="e">
        <v>#REF!</v>
      </c>
      <c r="CW89" s="76" t="e">
        <v>#REF!</v>
      </c>
      <c r="CX89" s="76" t="e">
        <v>#REF!</v>
      </c>
      <c r="CZ89" s="31" t="e">
        <f t="shared" si="89"/>
        <v>#REF!</v>
      </c>
      <c r="DA89" s="76" t="e">
        <v>#REF!</v>
      </c>
      <c r="DB89" s="76" t="e">
        <v>#REF!</v>
      </c>
      <c r="DC89" s="76" t="e">
        <v>#REF!</v>
      </c>
      <c r="DD89" s="76" t="e">
        <v>#REF!</v>
      </c>
      <c r="DF89" s="31" t="e">
        <f t="shared" si="90"/>
        <v>#REF!</v>
      </c>
      <c r="DG89" s="76" t="e">
        <v>#REF!</v>
      </c>
      <c r="DH89" s="76" t="e">
        <v>#REF!</v>
      </c>
      <c r="DI89" s="76" t="e">
        <v>#REF!</v>
      </c>
      <c r="DJ89" s="76" t="e">
        <v>#REF!</v>
      </c>
      <c r="DK89" s="76"/>
      <c r="DL89" s="31" t="e">
        <f t="shared" si="91"/>
        <v>#REF!</v>
      </c>
      <c r="DM89" s="76" t="e">
        <v>#REF!</v>
      </c>
      <c r="DN89" s="76" t="e">
        <v>#REF!</v>
      </c>
      <c r="DO89" s="76" t="e">
        <v>#REF!</v>
      </c>
      <c r="DP89" s="76" t="e">
        <v>#REF!</v>
      </c>
    </row>
    <row r="90" spans="1:120">
      <c r="A90" s="73" t="str">
        <f>name!C7</f>
        <v>Trade, accomod. and transport</v>
      </c>
      <c r="B90" s="31" t="e">
        <f t="shared" si="68"/>
        <v>#REF!</v>
      </c>
      <c r="C90" s="76" t="e">
        <v>#REF!</v>
      </c>
      <c r="D90" s="76" t="e">
        <v>#REF!</v>
      </c>
      <c r="E90" s="76" t="e">
        <v>#REF!</v>
      </c>
      <c r="F90" s="76" t="e">
        <v>#REF!</v>
      </c>
      <c r="H90" s="31" t="e">
        <f t="shared" si="69"/>
        <v>#REF!</v>
      </c>
      <c r="I90" s="76" t="e">
        <v>#REF!</v>
      </c>
      <c r="J90" s="76" t="e">
        <v>#REF!</v>
      </c>
      <c r="K90" s="76" t="e">
        <v>#REF!</v>
      </c>
      <c r="L90" s="76" t="e">
        <v>#REF!</v>
      </c>
      <c r="N90" s="31" t="e">
        <f t="shared" si="70"/>
        <v>#REF!</v>
      </c>
      <c r="O90" s="76" t="e">
        <v>#REF!</v>
      </c>
      <c r="P90" s="76" t="e">
        <v>#REF!</v>
      </c>
      <c r="Q90" s="76" t="e">
        <v>#REF!</v>
      </c>
      <c r="R90" s="76" t="e">
        <v>#REF!</v>
      </c>
      <c r="S90" s="76"/>
      <c r="T90" s="31" t="e">
        <f t="shared" si="71"/>
        <v>#REF!</v>
      </c>
      <c r="U90" s="76" t="e">
        <v>#REF!</v>
      </c>
      <c r="V90" s="76" t="e">
        <v>#REF!</v>
      </c>
      <c r="W90" s="76" t="e">
        <v>#REF!</v>
      </c>
      <c r="X90" s="76" t="e">
        <v>#REF!</v>
      </c>
      <c r="Y90" s="73" t="str">
        <f t="shared" si="72"/>
        <v>Trade, accomod. and transport</v>
      </c>
      <c r="Z90" s="31" t="e">
        <f t="shared" si="73"/>
        <v>#REF!</v>
      </c>
      <c r="AA90" s="76" t="e">
        <v>#REF!</v>
      </c>
      <c r="AB90" s="76" t="e">
        <v>#REF!</v>
      </c>
      <c r="AC90" s="76" t="e">
        <v>#REF!</v>
      </c>
      <c r="AD90" s="76" t="e">
        <v>#REF!</v>
      </c>
      <c r="AF90" s="31" t="e">
        <f t="shared" si="74"/>
        <v>#REF!</v>
      </c>
      <c r="AG90" s="76" t="e">
        <v>#REF!</v>
      </c>
      <c r="AH90" s="76" t="e">
        <v>#REF!</v>
      </c>
      <c r="AI90" s="76" t="e">
        <v>#REF!</v>
      </c>
      <c r="AJ90" s="76" t="e">
        <v>#REF!</v>
      </c>
      <c r="AL90" s="31" t="e">
        <f t="shared" si="75"/>
        <v>#REF!</v>
      </c>
      <c r="AM90" s="76" t="e">
        <v>#REF!</v>
      </c>
      <c r="AN90" s="76" t="e">
        <v>#REF!</v>
      </c>
      <c r="AO90" s="76" t="e">
        <v>#REF!</v>
      </c>
      <c r="AP90" s="76" t="e">
        <v>#REF!</v>
      </c>
      <c r="AQ90" s="76"/>
      <c r="AR90" s="31" t="e">
        <f t="shared" si="76"/>
        <v>#REF!</v>
      </c>
      <c r="AS90" s="76" t="e">
        <v>#REF!</v>
      </c>
      <c r="AT90" s="76" t="e">
        <v>#REF!</v>
      </c>
      <c r="AU90" s="76" t="e">
        <v>#REF!</v>
      </c>
      <c r="AV90" s="76" t="e">
        <v>#REF!</v>
      </c>
      <c r="AW90" s="73" t="str">
        <f t="shared" si="77"/>
        <v>Trade, accomod. and transport</v>
      </c>
      <c r="AX90" s="31" t="e">
        <f t="shared" si="78"/>
        <v>#REF!</v>
      </c>
      <c r="AY90" s="76" t="e">
        <v>#REF!</v>
      </c>
      <c r="AZ90" s="76" t="e">
        <v>#REF!</v>
      </c>
      <c r="BA90" s="76" t="e">
        <v>#REF!</v>
      </c>
      <c r="BB90" s="76" t="e">
        <v>#REF!</v>
      </c>
      <c r="BD90" s="31" t="e">
        <f t="shared" si="79"/>
        <v>#REF!</v>
      </c>
      <c r="BE90" s="76" t="e">
        <v>#REF!</v>
      </c>
      <c r="BF90" s="76" t="e">
        <v>#REF!</v>
      </c>
      <c r="BG90" s="76" t="e">
        <v>#REF!</v>
      </c>
      <c r="BH90" s="76" t="e">
        <v>#REF!</v>
      </c>
      <c r="BJ90" s="31" t="e">
        <f t="shared" si="80"/>
        <v>#REF!</v>
      </c>
      <c r="BK90" s="76" t="e">
        <v>#REF!</v>
      </c>
      <c r="BL90" s="76" t="e">
        <v>#REF!</v>
      </c>
      <c r="BM90" s="76" t="e">
        <v>#REF!</v>
      </c>
      <c r="BN90" s="76" t="e">
        <v>#REF!</v>
      </c>
      <c r="BO90" s="76"/>
      <c r="BP90" s="31" t="e">
        <f t="shared" si="81"/>
        <v>#REF!</v>
      </c>
      <c r="BQ90" s="76" t="e">
        <v>#REF!</v>
      </c>
      <c r="BR90" s="76" t="e">
        <v>#REF!</v>
      </c>
      <c r="BS90" s="76" t="e">
        <v>#REF!</v>
      </c>
      <c r="BT90" s="76" t="e">
        <v>#REF!</v>
      </c>
      <c r="BU90" s="73" t="str">
        <f t="shared" si="82"/>
        <v>Trade, accomod. and transport</v>
      </c>
      <c r="BV90" s="31" t="e">
        <f t="shared" si="83"/>
        <v>#REF!</v>
      </c>
      <c r="BW90" s="76" t="e">
        <v>#REF!</v>
      </c>
      <c r="BX90" s="76" t="e">
        <v>#REF!</v>
      </c>
      <c r="BY90" s="76" t="e">
        <v>#REF!</v>
      </c>
      <c r="BZ90" s="76" t="e">
        <v>#REF!</v>
      </c>
      <c r="CB90" s="31" t="e">
        <f t="shared" si="84"/>
        <v>#REF!</v>
      </c>
      <c r="CC90" s="76" t="e">
        <v>#REF!</v>
      </c>
      <c r="CD90" s="76" t="e">
        <v>#REF!</v>
      </c>
      <c r="CE90" s="76" t="e">
        <v>#REF!</v>
      </c>
      <c r="CF90" s="76" t="e">
        <v>#REF!</v>
      </c>
      <c r="CH90" s="31" t="e">
        <f t="shared" si="85"/>
        <v>#REF!</v>
      </c>
      <c r="CI90" s="76" t="e">
        <v>#REF!</v>
      </c>
      <c r="CJ90" s="76" t="e">
        <v>#REF!</v>
      </c>
      <c r="CK90" s="76" t="e">
        <v>#REF!</v>
      </c>
      <c r="CL90" s="76" t="e">
        <v>#REF!</v>
      </c>
      <c r="CM90" s="76"/>
      <c r="CN90" s="31" t="e">
        <f t="shared" si="86"/>
        <v>#REF!</v>
      </c>
      <c r="CO90" s="76" t="e">
        <v>#REF!</v>
      </c>
      <c r="CP90" s="76" t="e">
        <v>#REF!</v>
      </c>
      <c r="CQ90" s="76" t="e">
        <v>#REF!</v>
      </c>
      <c r="CR90" s="76" t="e">
        <v>#REF!</v>
      </c>
      <c r="CS90" s="73" t="str">
        <f t="shared" si="87"/>
        <v>Trade, accomod. and transport</v>
      </c>
      <c r="CT90" s="31" t="e">
        <f t="shared" si="88"/>
        <v>#REF!</v>
      </c>
      <c r="CU90" s="76" t="e">
        <v>#REF!</v>
      </c>
      <c r="CV90" s="76" t="e">
        <v>#REF!</v>
      </c>
      <c r="CW90" s="76" t="e">
        <v>#REF!</v>
      </c>
      <c r="CX90" s="76" t="e">
        <v>#REF!</v>
      </c>
      <c r="CZ90" s="31" t="e">
        <f t="shared" si="89"/>
        <v>#REF!</v>
      </c>
      <c r="DA90" s="76" t="e">
        <v>#REF!</v>
      </c>
      <c r="DB90" s="76" t="e">
        <v>#REF!</v>
      </c>
      <c r="DC90" s="76" t="e">
        <v>#REF!</v>
      </c>
      <c r="DD90" s="76" t="e">
        <v>#REF!</v>
      </c>
      <c r="DF90" s="31" t="e">
        <f t="shared" si="90"/>
        <v>#REF!</v>
      </c>
      <c r="DG90" s="76" t="e">
        <v>#REF!</v>
      </c>
      <c r="DH90" s="76" t="e">
        <v>#REF!</v>
      </c>
      <c r="DI90" s="76" t="e">
        <v>#REF!</v>
      </c>
      <c r="DJ90" s="76" t="e">
        <v>#REF!</v>
      </c>
      <c r="DK90" s="76"/>
      <c r="DL90" s="31" t="e">
        <f t="shared" si="91"/>
        <v>#REF!</v>
      </c>
      <c r="DM90" s="76" t="e">
        <v>#REF!</v>
      </c>
      <c r="DN90" s="76" t="e">
        <v>#REF!</v>
      </c>
      <c r="DO90" s="76" t="e">
        <v>#REF!</v>
      </c>
      <c r="DP90" s="76" t="e">
        <v>#REF!</v>
      </c>
    </row>
    <row r="91" spans="1:120">
      <c r="A91" s="73" t="str">
        <f>name!C8</f>
        <v>Business and other services</v>
      </c>
      <c r="B91" s="31" t="e">
        <f t="shared" si="68"/>
        <v>#REF!</v>
      </c>
      <c r="C91" s="76" t="e">
        <v>#REF!</v>
      </c>
      <c r="D91" s="76" t="e">
        <v>#REF!</v>
      </c>
      <c r="E91" s="76" t="e">
        <v>#REF!</v>
      </c>
      <c r="F91" s="76" t="e">
        <v>#REF!</v>
      </c>
      <c r="H91" s="31" t="e">
        <f t="shared" si="69"/>
        <v>#REF!</v>
      </c>
      <c r="I91" s="76" t="e">
        <v>#REF!</v>
      </c>
      <c r="J91" s="76" t="e">
        <v>#REF!</v>
      </c>
      <c r="K91" s="76" t="e">
        <v>#REF!</v>
      </c>
      <c r="L91" s="76" t="e">
        <v>#REF!</v>
      </c>
      <c r="N91" s="31" t="e">
        <f t="shared" si="70"/>
        <v>#REF!</v>
      </c>
      <c r="O91" s="76" t="e">
        <v>#REF!</v>
      </c>
      <c r="P91" s="76" t="e">
        <v>#REF!</v>
      </c>
      <c r="Q91" s="76" t="e">
        <v>#REF!</v>
      </c>
      <c r="R91" s="76" t="e">
        <v>#REF!</v>
      </c>
      <c r="S91" s="76"/>
      <c r="T91" s="31" t="e">
        <f t="shared" si="71"/>
        <v>#REF!</v>
      </c>
      <c r="U91" s="76" t="e">
        <v>#REF!</v>
      </c>
      <c r="V91" s="76" t="e">
        <v>#REF!</v>
      </c>
      <c r="W91" s="76" t="e">
        <v>#REF!</v>
      </c>
      <c r="X91" s="76" t="e">
        <v>#REF!</v>
      </c>
      <c r="Y91" s="73" t="str">
        <f t="shared" si="72"/>
        <v>Business and other services</v>
      </c>
      <c r="Z91" s="31" t="e">
        <f t="shared" si="73"/>
        <v>#REF!</v>
      </c>
      <c r="AA91" s="76" t="e">
        <v>#REF!</v>
      </c>
      <c r="AB91" s="76" t="e">
        <v>#REF!</v>
      </c>
      <c r="AC91" s="76" t="e">
        <v>#REF!</v>
      </c>
      <c r="AD91" s="76" t="e">
        <v>#REF!</v>
      </c>
      <c r="AF91" s="31" t="e">
        <f t="shared" si="74"/>
        <v>#REF!</v>
      </c>
      <c r="AG91" s="76" t="e">
        <v>#REF!</v>
      </c>
      <c r="AH91" s="76" t="e">
        <v>#REF!</v>
      </c>
      <c r="AI91" s="76" t="e">
        <v>#REF!</v>
      </c>
      <c r="AJ91" s="76" t="e">
        <v>#REF!</v>
      </c>
      <c r="AL91" s="31" t="e">
        <f t="shared" si="75"/>
        <v>#REF!</v>
      </c>
      <c r="AM91" s="76" t="e">
        <v>#REF!</v>
      </c>
      <c r="AN91" s="76" t="e">
        <v>#REF!</v>
      </c>
      <c r="AO91" s="76" t="e">
        <v>#REF!</v>
      </c>
      <c r="AP91" s="76" t="e">
        <v>#REF!</v>
      </c>
      <c r="AQ91" s="76"/>
      <c r="AR91" s="31" t="e">
        <f t="shared" si="76"/>
        <v>#REF!</v>
      </c>
      <c r="AS91" s="76" t="e">
        <v>#REF!</v>
      </c>
      <c r="AT91" s="76" t="e">
        <v>#REF!</v>
      </c>
      <c r="AU91" s="76" t="e">
        <v>#REF!</v>
      </c>
      <c r="AV91" s="76" t="e">
        <v>#REF!</v>
      </c>
      <c r="AW91" s="73" t="str">
        <f t="shared" si="77"/>
        <v>Business and other services</v>
      </c>
      <c r="AX91" s="31" t="e">
        <f t="shared" si="78"/>
        <v>#REF!</v>
      </c>
      <c r="AY91" s="76" t="e">
        <v>#REF!</v>
      </c>
      <c r="AZ91" s="76" t="e">
        <v>#REF!</v>
      </c>
      <c r="BA91" s="76" t="e">
        <v>#REF!</v>
      </c>
      <c r="BB91" s="76" t="e">
        <v>#REF!</v>
      </c>
      <c r="BD91" s="31" t="e">
        <f t="shared" si="79"/>
        <v>#REF!</v>
      </c>
      <c r="BE91" s="76" t="e">
        <v>#REF!</v>
      </c>
      <c r="BF91" s="76" t="e">
        <v>#REF!</v>
      </c>
      <c r="BG91" s="76" t="e">
        <v>#REF!</v>
      </c>
      <c r="BH91" s="76" t="e">
        <v>#REF!</v>
      </c>
      <c r="BJ91" s="31" t="e">
        <f t="shared" si="80"/>
        <v>#REF!</v>
      </c>
      <c r="BK91" s="76" t="e">
        <v>#REF!</v>
      </c>
      <c r="BL91" s="76" t="e">
        <v>#REF!</v>
      </c>
      <c r="BM91" s="76" t="e">
        <v>#REF!</v>
      </c>
      <c r="BN91" s="76" t="e">
        <v>#REF!</v>
      </c>
      <c r="BO91" s="76"/>
      <c r="BP91" s="31" t="e">
        <f t="shared" si="81"/>
        <v>#REF!</v>
      </c>
      <c r="BQ91" s="76" t="e">
        <v>#REF!</v>
      </c>
      <c r="BR91" s="76" t="e">
        <v>#REF!</v>
      </c>
      <c r="BS91" s="76" t="e">
        <v>#REF!</v>
      </c>
      <c r="BT91" s="76" t="e">
        <v>#REF!</v>
      </c>
      <c r="BU91" s="73" t="str">
        <f t="shared" si="82"/>
        <v>Business and other services</v>
      </c>
      <c r="BV91" s="31" t="e">
        <f t="shared" si="83"/>
        <v>#REF!</v>
      </c>
      <c r="BW91" s="76" t="e">
        <v>#REF!</v>
      </c>
      <c r="BX91" s="76" t="e">
        <v>#REF!</v>
      </c>
      <c r="BY91" s="76" t="e">
        <v>#REF!</v>
      </c>
      <c r="BZ91" s="76" t="e">
        <v>#REF!</v>
      </c>
      <c r="CB91" s="31" t="e">
        <f t="shared" si="84"/>
        <v>#REF!</v>
      </c>
      <c r="CC91" s="76" t="e">
        <v>#REF!</v>
      </c>
      <c r="CD91" s="76" t="e">
        <v>#REF!</v>
      </c>
      <c r="CE91" s="76" t="e">
        <v>#REF!</v>
      </c>
      <c r="CF91" s="76" t="e">
        <v>#REF!</v>
      </c>
      <c r="CH91" s="31" t="e">
        <f t="shared" si="85"/>
        <v>#REF!</v>
      </c>
      <c r="CI91" s="76" t="e">
        <v>#REF!</v>
      </c>
      <c r="CJ91" s="76" t="e">
        <v>#REF!</v>
      </c>
      <c r="CK91" s="76" t="e">
        <v>#REF!</v>
      </c>
      <c r="CL91" s="76" t="e">
        <v>#REF!</v>
      </c>
      <c r="CM91" s="76"/>
      <c r="CN91" s="31" t="e">
        <f t="shared" si="86"/>
        <v>#REF!</v>
      </c>
      <c r="CO91" s="76" t="e">
        <v>#REF!</v>
      </c>
      <c r="CP91" s="76" t="e">
        <v>#REF!</v>
      </c>
      <c r="CQ91" s="76" t="e">
        <v>#REF!</v>
      </c>
      <c r="CR91" s="76" t="e">
        <v>#REF!</v>
      </c>
      <c r="CS91" s="73" t="str">
        <f t="shared" si="87"/>
        <v>Business and other services</v>
      </c>
      <c r="CT91" s="31" t="e">
        <f t="shared" si="88"/>
        <v>#REF!</v>
      </c>
      <c r="CU91" s="76" t="e">
        <v>#REF!</v>
      </c>
      <c r="CV91" s="76" t="e">
        <v>#REF!</v>
      </c>
      <c r="CW91" s="76" t="e">
        <v>#REF!</v>
      </c>
      <c r="CX91" s="76" t="e">
        <v>#REF!</v>
      </c>
      <c r="CZ91" s="31" t="e">
        <f t="shared" si="89"/>
        <v>#REF!</v>
      </c>
      <c r="DA91" s="76" t="e">
        <v>#REF!</v>
      </c>
      <c r="DB91" s="76" t="e">
        <v>#REF!</v>
      </c>
      <c r="DC91" s="76" t="e">
        <v>#REF!</v>
      </c>
      <c r="DD91" s="76" t="e">
        <v>#REF!</v>
      </c>
      <c r="DF91" s="31" t="e">
        <f t="shared" si="90"/>
        <v>#REF!</v>
      </c>
      <c r="DG91" s="76" t="e">
        <v>#REF!</v>
      </c>
      <c r="DH91" s="76" t="e">
        <v>#REF!</v>
      </c>
      <c r="DI91" s="76" t="e">
        <v>#REF!</v>
      </c>
      <c r="DJ91" s="76" t="e">
        <v>#REF!</v>
      </c>
      <c r="DK91" s="76"/>
      <c r="DL91" s="31" t="e">
        <f t="shared" si="91"/>
        <v>#REF!</v>
      </c>
      <c r="DM91" s="76" t="e">
        <v>#REF!</v>
      </c>
      <c r="DN91" s="76" t="e">
        <v>#REF!</v>
      </c>
      <c r="DO91" s="76" t="e">
        <v>#REF!</v>
      </c>
      <c r="DP91" s="76" t="e">
        <v>#REF!</v>
      </c>
    </row>
    <row r="92" spans="1:120">
      <c r="A92" s="73" t="str">
        <f>name!C9</f>
        <v>Non-marketed services</v>
      </c>
      <c r="B92" s="31" t="e">
        <f t="shared" si="68"/>
        <v>#REF!</v>
      </c>
      <c r="C92" s="76" t="e">
        <v>#REF!</v>
      </c>
      <c r="D92" s="76" t="e">
        <v>#REF!</v>
      </c>
      <c r="E92" s="76" t="e">
        <v>#REF!</v>
      </c>
      <c r="F92" s="76" t="e">
        <v>#REF!</v>
      </c>
      <c r="H92" s="31" t="e">
        <f t="shared" si="69"/>
        <v>#REF!</v>
      </c>
      <c r="I92" s="76" t="e">
        <v>#REF!</v>
      </c>
      <c r="J92" s="76" t="e">
        <v>#REF!</v>
      </c>
      <c r="K92" s="76" t="e">
        <v>#REF!</v>
      </c>
      <c r="L92" s="76" t="e">
        <v>#REF!</v>
      </c>
      <c r="N92" s="31" t="e">
        <f t="shared" si="70"/>
        <v>#REF!</v>
      </c>
      <c r="O92" s="76" t="e">
        <v>#REF!</v>
      </c>
      <c r="P92" s="76" t="e">
        <v>#REF!</v>
      </c>
      <c r="Q92" s="76" t="e">
        <v>#REF!</v>
      </c>
      <c r="R92" s="76" t="e">
        <v>#REF!</v>
      </c>
      <c r="S92" s="76"/>
      <c r="T92" s="31" t="e">
        <f t="shared" si="71"/>
        <v>#REF!</v>
      </c>
      <c r="U92" s="76" t="e">
        <v>#REF!</v>
      </c>
      <c r="V92" s="76" t="e">
        <v>#REF!</v>
      </c>
      <c r="W92" s="76" t="e">
        <v>#REF!</v>
      </c>
      <c r="X92" s="76" t="e">
        <v>#REF!</v>
      </c>
      <c r="Y92" s="73" t="str">
        <f t="shared" si="72"/>
        <v>Non-marketed services</v>
      </c>
      <c r="Z92" s="31" t="e">
        <f t="shared" si="73"/>
        <v>#REF!</v>
      </c>
      <c r="AA92" s="76" t="e">
        <v>#REF!</v>
      </c>
      <c r="AB92" s="76" t="e">
        <v>#REF!</v>
      </c>
      <c r="AC92" s="76" t="e">
        <v>#REF!</v>
      </c>
      <c r="AD92" s="76" t="e">
        <v>#REF!</v>
      </c>
      <c r="AF92" s="31" t="e">
        <f t="shared" si="74"/>
        <v>#REF!</v>
      </c>
      <c r="AG92" s="76" t="e">
        <v>#REF!</v>
      </c>
      <c r="AH92" s="76" t="e">
        <v>#REF!</v>
      </c>
      <c r="AI92" s="76" t="e">
        <v>#REF!</v>
      </c>
      <c r="AJ92" s="76" t="e">
        <v>#REF!</v>
      </c>
      <c r="AL92" s="31" t="e">
        <f t="shared" si="75"/>
        <v>#REF!</v>
      </c>
      <c r="AM92" s="76" t="e">
        <v>#REF!</v>
      </c>
      <c r="AN92" s="76" t="e">
        <v>#REF!</v>
      </c>
      <c r="AO92" s="76" t="e">
        <v>#REF!</v>
      </c>
      <c r="AP92" s="76" t="e">
        <v>#REF!</v>
      </c>
      <c r="AQ92" s="76"/>
      <c r="AR92" s="31" t="e">
        <f t="shared" si="76"/>
        <v>#REF!</v>
      </c>
      <c r="AS92" s="76" t="e">
        <v>#REF!</v>
      </c>
      <c r="AT92" s="76" t="e">
        <v>#REF!</v>
      </c>
      <c r="AU92" s="76" t="e">
        <v>#REF!</v>
      </c>
      <c r="AV92" s="76" t="e">
        <v>#REF!</v>
      </c>
      <c r="AW92" s="73" t="str">
        <f t="shared" si="77"/>
        <v>Non-marketed services</v>
      </c>
      <c r="AX92" s="31" t="e">
        <f t="shared" si="78"/>
        <v>#REF!</v>
      </c>
      <c r="AY92" s="76" t="e">
        <v>#REF!</v>
      </c>
      <c r="AZ92" s="76" t="e">
        <v>#REF!</v>
      </c>
      <c r="BA92" s="76" t="e">
        <v>#REF!</v>
      </c>
      <c r="BB92" s="76" t="e">
        <v>#REF!</v>
      </c>
      <c r="BD92" s="31" t="e">
        <f t="shared" si="79"/>
        <v>#REF!</v>
      </c>
      <c r="BE92" s="76" t="e">
        <v>#REF!</v>
      </c>
      <c r="BF92" s="76" t="e">
        <v>#REF!</v>
      </c>
      <c r="BG92" s="76" t="e">
        <v>#REF!</v>
      </c>
      <c r="BH92" s="76" t="e">
        <v>#REF!</v>
      </c>
      <c r="BJ92" s="31" t="e">
        <f t="shared" si="80"/>
        <v>#REF!</v>
      </c>
      <c r="BK92" s="76" t="e">
        <v>#REF!</v>
      </c>
      <c r="BL92" s="76" t="e">
        <v>#REF!</v>
      </c>
      <c r="BM92" s="76" t="e">
        <v>#REF!</v>
      </c>
      <c r="BN92" s="76" t="e">
        <v>#REF!</v>
      </c>
      <c r="BO92" s="76"/>
      <c r="BP92" s="31" t="e">
        <f t="shared" si="81"/>
        <v>#REF!</v>
      </c>
      <c r="BQ92" s="76" t="e">
        <v>#REF!</v>
      </c>
      <c r="BR92" s="76" t="e">
        <v>#REF!</v>
      </c>
      <c r="BS92" s="76" t="e">
        <v>#REF!</v>
      </c>
      <c r="BT92" s="76" t="e">
        <v>#REF!</v>
      </c>
      <c r="BU92" s="73" t="str">
        <f t="shared" si="82"/>
        <v>Non-marketed services</v>
      </c>
      <c r="BV92" s="31" t="e">
        <f t="shared" si="83"/>
        <v>#REF!</v>
      </c>
      <c r="BW92" s="76" t="e">
        <v>#REF!</v>
      </c>
      <c r="BX92" s="76" t="e">
        <v>#REF!</v>
      </c>
      <c r="BY92" s="76" t="e">
        <v>#REF!</v>
      </c>
      <c r="BZ92" s="76" t="e">
        <v>#REF!</v>
      </c>
      <c r="CB92" s="31" t="e">
        <f t="shared" si="84"/>
        <v>#REF!</v>
      </c>
      <c r="CC92" s="76" t="e">
        <v>#REF!</v>
      </c>
      <c r="CD92" s="76" t="e">
        <v>#REF!</v>
      </c>
      <c r="CE92" s="76" t="e">
        <v>#REF!</v>
      </c>
      <c r="CF92" s="76" t="e">
        <v>#REF!</v>
      </c>
      <c r="CH92" s="31" t="e">
        <f t="shared" si="85"/>
        <v>#REF!</v>
      </c>
      <c r="CI92" s="76" t="e">
        <v>#REF!</v>
      </c>
      <c r="CJ92" s="76" t="e">
        <v>#REF!</v>
      </c>
      <c r="CK92" s="76" t="e">
        <v>#REF!</v>
      </c>
      <c r="CL92" s="76" t="e">
        <v>#REF!</v>
      </c>
      <c r="CM92" s="76"/>
      <c r="CN92" s="31" t="e">
        <f t="shared" si="86"/>
        <v>#REF!</v>
      </c>
      <c r="CO92" s="76" t="e">
        <v>#REF!</v>
      </c>
      <c r="CP92" s="76" t="e">
        <v>#REF!</v>
      </c>
      <c r="CQ92" s="76" t="e">
        <v>#REF!</v>
      </c>
      <c r="CR92" s="76" t="e">
        <v>#REF!</v>
      </c>
      <c r="CS92" s="73" t="str">
        <f t="shared" si="87"/>
        <v>Non-marketed services</v>
      </c>
      <c r="CT92" s="31" t="e">
        <f t="shared" si="88"/>
        <v>#REF!</v>
      </c>
      <c r="CU92" s="76" t="e">
        <v>#REF!</v>
      </c>
      <c r="CV92" s="76" t="e">
        <v>#REF!</v>
      </c>
      <c r="CW92" s="76" t="e">
        <v>#REF!</v>
      </c>
      <c r="CX92" s="76" t="e">
        <v>#REF!</v>
      </c>
      <c r="CZ92" s="31" t="e">
        <f t="shared" si="89"/>
        <v>#REF!</v>
      </c>
      <c r="DA92" s="76" t="e">
        <v>#REF!</v>
      </c>
      <c r="DB92" s="76" t="e">
        <v>#REF!</v>
      </c>
      <c r="DC92" s="76" t="e">
        <v>#REF!</v>
      </c>
      <c r="DD92" s="76" t="e">
        <v>#REF!</v>
      </c>
      <c r="DF92" s="31" t="e">
        <f t="shared" si="90"/>
        <v>#REF!</v>
      </c>
      <c r="DG92" s="76" t="e">
        <v>#REF!</v>
      </c>
      <c r="DH92" s="76" t="e">
        <v>#REF!</v>
      </c>
      <c r="DI92" s="76" t="e">
        <v>#REF!</v>
      </c>
      <c r="DJ92" s="76" t="e">
        <v>#REF!</v>
      </c>
      <c r="DK92" s="76"/>
      <c r="DL92" s="31" t="e">
        <f t="shared" si="91"/>
        <v>#REF!</v>
      </c>
      <c r="DM92" s="76" t="e">
        <v>#REF!</v>
      </c>
      <c r="DN92" s="76" t="e">
        <v>#REF!</v>
      </c>
      <c r="DO92" s="76" t="e">
        <v>#REF!</v>
      </c>
      <c r="DP92" s="76" t="e">
        <v>#REF!</v>
      </c>
    </row>
    <row r="93" spans="1:120">
      <c r="B93" s="31"/>
      <c r="C93" s="76"/>
      <c r="D93" s="76"/>
      <c r="E93" s="76"/>
      <c r="F93" s="76"/>
      <c r="H93" s="31"/>
      <c r="I93" s="76"/>
      <c r="J93" s="76"/>
      <c r="K93" s="76"/>
      <c r="L93" s="76"/>
      <c r="N93" s="31"/>
      <c r="O93" s="76"/>
      <c r="P93" s="76"/>
      <c r="Q93" s="76"/>
      <c r="R93" s="76"/>
      <c r="S93" s="76"/>
      <c r="T93" s="31"/>
      <c r="U93" s="76"/>
      <c r="V93" s="76"/>
      <c r="W93" s="76"/>
      <c r="X93" s="76"/>
      <c r="Z93" s="31"/>
      <c r="AA93" s="76"/>
      <c r="AB93" s="76"/>
      <c r="AC93" s="76"/>
      <c r="AD93" s="76"/>
      <c r="AF93" s="31"/>
      <c r="AG93" s="76"/>
      <c r="AH93" s="76"/>
      <c r="AI93" s="76"/>
      <c r="AJ93" s="76"/>
      <c r="AL93" s="31"/>
      <c r="AM93" s="76"/>
      <c r="AN93" s="76"/>
      <c r="AO93" s="76"/>
      <c r="AP93" s="76"/>
      <c r="AQ93" s="76"/>
      <c r="AR93" s="31"/>
      <c r="AS93" s="76"/>
      <c r="AT93" s="76"/>
      <c r="AU93" s="76"/>
      <c r="AV93" s="76"/>
      <c r="AX93" s="31"/>
      <c r="AY93" s="76"/>
      <c r="AZ93" s="76"/>
      <c r="BA93" s="76"/>
      <c r="BB93" s="76"/>
      <c r="BD93" s="31"/>
      <c r="BE93" s="76"/>
      <c r="BF93" s="76"/>
      <c r="BG93" s="76"/>
      <c r="BH93" s="76"/>
      <c r="BJ93" s="31"/>
      <c r="BK93" s="76"/>
      <c r="BL93" s="76"/>
      <c r="BM93" s="76"/>
      <c r="BN93" s="76"/>
      <c r="BO93" s="76"/>
      <c r="BP93" s="31"/>
      <c r="BQ93" s="76"/>
      <c r="BR93" s="76"/>
      <c r="BS93" s="76"/>
      <c r="BT93" s="76"/>
      <c r="BV93" s="31"/>
      <c r="BW93" s="76"/>
      <c r="BX93" s="76"/>
      <c r="BY93" s="76"/>
      <c r="BZ93" s="76"/>
      <c r="CB93" s="31"/>
      <c r="CC93" s="76"/>
      <c r="CD93" s="76"/>
      <c r="CE93" s="76"/>
      <c r="CF93" s="76"/>
      <c r="CH93" s="31"/>
      <c r="CI93" s="76"/>
      <c r="CJ93" s="76"/>
      <c r="CK93" s="76"/>
      <c r="CL93" s="76"/>
      <c r="CM93" s="76"/>
      <c r="CN93" s="31"/>
      <c r="CO93" s="76"/>
      <c r="CP93" s="76"/>
      <c r="CQ93" s="76"/>
      <c r="CR93" s="76"/>
      <c r="CT93" s="31"/>
      <c r="CU93" s="76"/>
      <c r="CV93" s="76"/>
      <c r="CW93" s="76"/>
      <c r="CX93" s="76"/>
      <c r="CZ93" s="31"/>
      <c r="DA93" s="76"/>
      <c r="DB93" s="76"/>
      <c r="DC93" s="76"/>
      <c r="DD93" s="76"/>
      <c r="DF93" s="31"/>
      <c r="DG93" s="76"/>
      <c r="DH93" s="76"/>
      <c r="DI93" s="76"/>
      <c r="DJ93" s="76"/>
      <c r="DK93" s="76"/>
      <c r="DL93" s="31"/>
      <c r="DM93" s="76"/>
      <c r="DN93" s="76"/>
      <c r="DO93" s="76"/>
      <c r="DP93" s="76"/>
    </row>
    <row r="94" spans="1:120">
      <c r="A94" s="73" t="str">
        <f>name!C3</f>
        <v>All industries</v>
      </c>
      <c r="B94" s="31">
        <f t="shared" si="68"/>
        <v>2.7912372459239387</v>
      </c>
      <c r="C94" s="76">
        <f>C50</f>
        <v>4561.2992279926211</v>
      </c>
      <c r="D94" s="76">
        <f>D50</f>
        <v>431.97496524334053</v>
      </c>
      <c r="E94" s="76">
        <f>E50</f>
        <v>1445.5882710202891</v>
      </c>
      <c r="F94" s="76">
        <f>F50</f>
        <v>1877.5632362636297</v>
      </c>
      <c r="H94" s="31">
        <f t="shared" si="69"/>
        <v>2.6517730789267446</v>
      </c>
      <c r="I94" s="76">
        <f>I50</f>
        <v>774.77767553257945</v>
      </c>
      <c r="J94" s="76">
        <f>J50</f>
        <v>-90.9176985646708</v>
      </c>
      <c r="K94" s="76">
        <f>K50</f>
        <v>231.78692033646578</v>
      </c>
      <c r="L94" s="76">
        <f>L50</f>
        <v>140.86922177179497</v>
      </c>
      <c r="N94" s="31">
        <f t="shared" si="70"/>
        <v>2.6893242464146816</v>
      </c>
      <c r="O94" s="76">
        <f>O50</f>
        <v>1810.6123702397726</v>
      </c>
      <c r="P94" s="76">
        <f>P50</f>
        <v>208.84741372398935</v>
      </c>
      <c r="Q94" s="76">
        <f>Q50</f>
        <v>550.29225403969679</v>
      </c>
      <c r="R94" s="76">
        <f>R50</f>
        <v>759.13966776368613</v>
      </c>
      <c r="S94" s="76"/>
      <c r="T94" s="31">
        <f t="shared" si="71"/>
        <v>2.9376202991175049</v>
      </c>
      <c r="U94" s="76">
        <f>U50</f>
        <v>1975.9091822202711</v>
      </c>
      <c r="V94" s="76">
        <f>V50</f>
        <v>314.04525008402186</v>
      </c>
      <c r="W94" s="76">
        <f>W50</f>
        <v>663.50909664412427</v>
      </c>
      <c r="X94" s="76">
        <f>X50</f>
        <v>977.55434672814613</v>
      </c>
      <c r="Y94" s="74" t="str">
        <f>A94</f>
        <v>All industries</v>
      </c>
      <c r="Z94" s="31">
        <f>IF(AA94&gt;0,((1+(AC94/AA94))^(1/($A$101-$A$100))-1)*100,0)</f>
        <v>2.9771972098236787</v>
      </c>
      <c r="AA94" s="76">
        <f>AA50</f>
        <v>2141.7348734083043</v>
      </c>
      <c r="AB94" s="76">
        <f>AB50</f>
        <v>328.18012130131888</v>
      </c>
      <c r="AC94" s="76">
        <f>AC50</f>
        <v>730.21185757939747</v>
      </c>
      <c r="AD94" s="76">
        <f>AD50</f>
        <v>1058.3919788807164</v>
      </c>
      <c r="AF94" s="31">
        <f>IF(AG94&gt;0,((1+(AI94/AG94))^(1/($A$101-$A$100))-1)*100,0)</f>
        <v>3.0280155732974823</v>
      </c>
      <c r="AG94" s="76">
        <f>AG50</f>
        <v>114.36183531349347</v>
      </c>
      <c r="AH94" s="76">
        <f>AH50</f>
        <v>10.806009020856356</v>
      </c>
      <c r="AI94" s="76">
        <f>AI50</f>
        <v>39.749458273691218</v>
      </c>
      <c r="AJ94" s="76">
        <f>AJ50</f>
        <v>50.555467294547576</v>
      </c>
      <c r="AL94" s="31">
        <f>IF(AM94&gt;0,((1+(AO94/AM94))^(1/($A$101-$A$100))-1)*100,0)</f>
        <v>2.9663353480916088</v>
      </c>
      <c r="AM94" s="76">
        <f>AM50</f>
        <v>484.03376220781502</v>
      </c>
      <c r="AN94" s="76">
        <f>AN50</f>
        <v>80.752171418150368</v>
      </c>
      <c r="AO94" s="76">
        <f>AO50</f>
        <v>164.34415782441963</v>
      </c>
      <c r="AP94" s="76">
        <f>AP50</f>
        <v>245.09632924256999</v>
      </c>
      <c r="AQ94" s="76"/>
      <c r="AR94" s="31">
        <f>IF(AS94&gt;0,((1+(AU94/AS94))^(1/($A$101-$A$100))-1)*100,0)</f>
        <v>2.9768281396108875</v>
      </c>
      <c r="AS94" s="76">
        <f>AS50</f>
        <v>1543.3392758869961</v>
      </c>
      <c r="AT94" s="76">
        <f>AT50</f>
        <v>236.62194086231219</v>
      </c>
      <c r="AU94" s="76">
        <f>AU50</f>
        <v>526.11824148128676</v>
      </c>
      <c r="AV94" s="76">
        <f>AV50</f>
        <v>762.74018234359892</v>
      </c>
      <c r="AW94" s="74" t="str">
        <f>Y94</f>
        <v>All industries</v>
      </c>
      <c r="AX94" s="31">
        <f>IF(AY94&gt;0,((1+(BA94/AY94))^(1/($A$101-$A$100))-1)*100,0)</f>
        <v>2.5960689907792656</v>
      </c>
      <c r="AY94" s="76">
        <f>AY50</f>
        <v>1169.4910110900296</v>
      </c>
      <c r="AZ94" s="76">
        <f>AZ50</f>
        <v>61.012733866251224</v>
      </c>
      <c r="BA94" s="76">
        <f>BA50</f>
        <v>341.64688672572964</v>
      </c>
      <c r="BB94" s="76">
        <f>BB50</f>
        <v>402.65962059198085</v>
      </c>
      <c r="BD94" s="31">
        <f>IF(BE94&gt;0,((1+(BG94/BE94))^(1/($A$101-$A$100))-1)*100,0)</f>
        <v>2.5108134589674425</v>
      </c>
      <c r="BE94" s="76">
        <f>BE50</f>
        <v>196.77997170605971</v>
      </c>
      <c r="BF94" s="76">
        <f>BF50</f>
        <v>-19.19988351079143</v>
      </c>
      <c r="BG94" s="76">
        <f>BG50</f>
        <v>55.380896948664599</v>
      </c>
      <c r="BH94" s="76">
        <f>BH50</f>
        <v>36.181013437873169</v>
      </c>
      <c r="BJ94" s="31">
        <f>IF(BK94&gt;0,((1+(BM94/BK94))^(1/($A$101-$A$100))-1)*100,0)</f>
        <v>2.5531077119064882</v>
      </c>
      <c r="BK94" s="76">
        <f>BK50</f>
        <v>650.12175377402275</v>
      </c>
      <c r="BL94" s="76">
        <f>BL50</f>
        <v>42.192712487148434</v>
      </c>
      <c r="BM94" s="76">
        <f>BM50</f>
        <v>186.41100647521165</v>
      </c>
      <c r="BN94" s="76">
        <f>BN50</f>
        <v>228.60371896236009</v>
      </c>
      <c r="BO94" s="76"/>
      <c r="BP94" s="31">
        <f>IF(BQ94&gt;0,((1+(BS94/BQ94))^(1/($A$101-$A$100))-1)*100,0)</f>
        <v>2.7334678665663192</v>
      </c>
      <c r="BQ94" s="76">
        <f>BQ50</f>
        <v>322.58928560994713</v>
      </c>
      <c r="BR94" s="76">
        <f>BR50</f>
        <v>38.019904889894228</v>
      </c>
      <c r="BS94" s="76">
        <f>BS50</f>
        <v>99.854983301853494</v>
      </c>
      <c r="BT94" s="76">
        <f>BT50</f>
        <v>137.87488819174771</v>
      </c>
      <c r="BU94" s="74" t="str">
        <f>AW94</f>
        <v>All industries</v>
      </c>
      <c r="BV94" s="31">
        <f>IF(BW94&gt;0,((1+(BY94/BW94))^(1/($A$101-$A$100))-1)*100,0)</f>
        <v>2.5889208699682698</v>
      </c>
      <c r="BW94" s="76">
        <f>BW50</f>
        <v>786.26148565798121</v>
      </c>
      <c r="BX94" s="76">
        <f>BX50</f>
        <v>-16.768227409449015</v>
      </c>
      <c r="BY94" s="76">
        <f>BY50</f>
        <v>228.98528730973825</v>
      </c>
      <c r="BZ94" s="76">
        <f>BZ50</f>
        <v>212.21705990028923</v>
      </c>
      <c r="CB94" s="31">
        <f>IF(CC94&gt;0,((1+(CE94/CC94))^(1/($A$101-$A$100))-1)*100,0)</f>
        <v>2.5278948366694864</v>
      </c>
      <c r="CC94" s="76">
        <f>CC50</f>
        <v>257.91842111045776</v>
      </c>
      <c r="CD94" s="76">
        <f>CD50</f>
        <v>-52.179148361626908</v>
      </c>
      <c r="CE94" s="76">
        <f>CE50</f>
        <v>73.138570554183204</v>
      </c>
      <c r="CF94" s="76">
        <f>CF50</f>
        <v>20.959422192556296</v>
      </c>
      <c r="CH94" s="31">
        <f>IF(CI94&gt;0,((1+(CK94/CI94))^(1/($A$101-$A$100))-1)*100,0)</f>
        <v>2.5655949055339189</v>
      </c>
      <c r="CI94" s="76">
        <f>CI50</f>
        <v>462.50112579230256</v>
      </c>
      <c r="CJ94" s="76">
        <f>CJ50</f>
        <v>18.263082416840735</v>
      </c>
      <c r="CK94" s="76">
        <f>CK50</f>
        <v>133.33911166207648</v>
      </c>
      <c r="CL94" s="76">
        <f>CL50</f>
        <v>151.60219407891722</v>
      </c>
      <c r="CM94" s="76"/>
      <c r="CN94" s="31">
        <f>IF(CO94&gt;0,((1+(CQ94/CO94))^(1/($A$101-$A$100))-1)*100,0)</f>
        <v>2.9840981402702971</v>
      </c>
      <c r="CO94" s="76">
        <f>CO50</f>
        <v>65.841938755220539</v>
      </c>
      <c r="CP94" s="76">
        <f>CP50</f>
        <v>17.147838535337179</v>
      </c>
      <c r="CQ94" s="76">
        <f>CQ50</f>
        <v>22.507605093478684</v>
      </c>
      <c r="CR94" s="76">
        <f>CR50</f>
        <v>39.65544362881586</v>
      </c>
      <c r="CS94" s="74" t="str">
        <f>BU94</f>
        <v>All industries</v>
      </c>
      <c r="CT94" s="31">
        <f>IF(CU94&gt;0,((1+(CW94/CU94))^(1/($A$101-$A$100))-1)*100,0)</f>
        <v>2.7533233225370157</v>
      </c>
      <c r="CU94" s="76">
        <f>CU50</f>
        <v>463.81185783630696</v>
      </c>
      <c r="CV94" s="76">
        <f>CV50</f>
        <v>59.550337485219423</v>
      </c>
      <c r="CW94" s="76">
        <f>CW50</f>
        <v>144.74423940542175</v>
      </c>
      <c r="CX94" s="76">
        <f>CX50</f>
        <v>204.29457689064117</v>
      </c>
      <c r="CZ94" s="31">
        <f>IF(DA94&gt;0,((1+(DC94/DA94))^(1/($A$101-$A$100))-1)*100,0)</f>
        <v>2.7273559755584653</v>
      </c>
      <c r="DA94" s="76">
        <f>DA50</f>
        <v>205.71744740256855</v>
      </c>
      <c r="DB94" s="76">
        <f>DB50</f>
        <v>-30.344675713108767</v>
      </c>
      <c r="DC94" s="76">
        <f>DC50</f>
        <v>63.517994559926827</v>
      </c>
      <c r="DD94" s="76">
        <f>DD50</f>
        <v>33.173318846818063</v>
      </c>
      <c r="DF94" s="31">
        <f>IF(DG94&gt;0,((1+(DI94/DG94))^(1/($A$101-$A$100))-1)*100,0)</f>
        <v>2.7323553670193235</v>
      </c>
      <c r="DG94" s="76">
        <f>DG50</f>
        <v>213.95572846563186</v>
      </c>
      <c r="DH94" s="76">
        <f>DH50</f>
        <v>67.639447401849822</v>
      </c>
      <c r="DI94" s="76">
        <f>DI50</f>
        <v>66.197978077989319</v>
      </c>
      <c r="DJ94" s="76">
        <f>DJ50</f>
        <v>133.83742547983914</v>
      </c>
      <c r="DK94" s="76"/>
      <c r="DL94" s="31">
        <f>IF(DM94&gt;0,((1+(DO94/DM94))^(1/($A$101-$A$100))-1)*100,0)</f>
        <v>2.9736201868302725</v>
      </c>
      <c r="DM94" s="76">
        <f>DM50</f>
        <v>44.13868196810671</v>
      </c>
      <c r="DN94" s="76">
        <f>DN50</f>
        <v>22.25556579647839</v>
      </c>
      <c r="DO94" s="76">
        <f>DO50</f>
        <v>15.028266767505601</v>
      </c>
      <c r="DP94" s="76">
        <f>DP50</f>
        <v>37.283832563983992</v>
      </c>
    </row>
    <row r="95" spans="1:120">
      <c r="A95" s="78"/>
      <c r="B95" s="94"/>
      <c r="C95" s="94"/>
      <c r="D95" s="94"/>
      <c r="E95" s="94"/>
      <c r="F95" s="94"/>
      <c r="G95" s="78"/>
      <c r="H95" s="94"/>
      <c r="I95" s="94"/>
      <c r="J95" s="94"/>
      <c r="K95" s="94"/>
      <c r="L95" s="94"/>
      <c r="M95" s="78"/>
      <c r="N95" s="78"/>
      <c r="O95" s="94"/>
      <c r="P95" s="94"/>
      <c r="Q95" s="94"/>
      <c r="R95" s="94"/>
      <c r="S95" s="94"/>
      <c r="T95" s="78"/>
      <c r="U95" s="94"/>
      <c r="V95" s="94"/>
      <c r="W95" s="94"/>
      <c r="X95" s="94"/>
      <c r="Y95" s="78"/>
      <c r="Z95" s="94"/>
      <c r="AA95" s="94"/>
      <c r="AB95" s="94"/>
      <c r="AC95" s="94"/>
      <c r="AD95" s="94"/>
      <c r="AE95" s="78"/>
      <c r="AF95" s="94"/>
      <c r="AG95" s="94"/>
      <c r="AH95" s="94"/>
      <c r="AI95" s="94"/>
      <c r="AJ95" s="94"/>
      <c r="AK95" s="78"/>
      <c r="AL95" s="78"/>
      <c r="AM95" s="94"/>
      <c r="AN95" s="94"/>
      <c r="AO95" s="94"/>
      <c r="AP95" s="94"/>
      <c r="AQ95" s="94"/>
      <c r="AR95" s="78"/>
      <c r="AS95" s="94"/>
      <c r="AT95" s="94"/>
      <c r="AU95" s="94"/>
      <c r="AV95" s="94"/>
      <c r="AW95" s="78"/>
      <c r="AX95" s="94"/>
      <c r="AY95" s="94"/>
      <c r="AZ95" s="94"/>
      <c r="BA95" s="94"/>
      <c r="BB95" s="94"/>
      <c r="BC95" s="78"/>
      <c r="BD95" s="94"/>
      <c r="BE95" s="94"/>
      <c r="BF95" s="94"/>
      <c r="BG95" s="94"/>
      <c r="BH95" s="94"/>
      <c r="BI95" s="78"/>
      <c r="BJ95" s="78"/>
      <c r="BK95" s="94"/>
      <c r="BL95" s="94"/>
      <c r="BM95" s="94"/>
      <c r="BN95" s="94"/>
      <c r="BO95" s="94"/>
      <c r="BP95" s="78"/>
      <c r="BQ95" s="94"/>
      <c r="BR95" s="94"/>
      <c r="BS95" s="94"/>
      <c r="BT95" s="94"/>
      <c r="BU95" s="78"/>
      <c r="BV95" s="94"/>
      <c r="BW95" s="94"/>
      <c r="BX95" s="94"/>
      <c r="BY95" s="94"/>
      <c r="BZ95" s="94"/>
      <c r="CA95" s="78"/>
      <c r="CB95" s="94"/>
      <c r="CC95" s="94"/>
      <c r="CD95" s="94"/>
      <c r="CE95" s="94"/>
      <c r="CF95" s="94"/>
      <c r="CG95" s="78"/>
      <c r="CH95" s="78"/>
      <c r="CI95" s="94"/>
      <c r="CJ95" s="94"/>
      <c r="CK95" s="94"/>
      <c r="CL95" s="94"/>
      <c r="CM95" s="94"/>
      <c r="CN95" s="78"/>
      <c r="CO95" s="94"/>
      <c r="CP95" s="94"/>
      <c r="CQ95" s="94"/>
      <c r="CR95" s="94"/>
      <c r="CS95" s="78"/>
      <c r="CT95" s="94"/>
      <c r="CU95" s="94"/>
      <c r="CV95" s="94"/>
      <c r="CW95" s="94"/>
      <c r="CX95" s="94"/>
      <c r="CY95" s="78"/>
      <c r="CZ95" s="94"/>
      <c r="DA95" s="94"/>
      <c r="DB95" s="94"/>
      <c r="DC95" s="94"/>
      <c r="DD95" s="94"/>
      <c r="DE95" s="78"/>
      <c r="DF95" s="78"/>
      <c r="DG95" s="94"/>
      <c r="DH95" s="94"/>
      <c r="DI95" s="94"/>
      <c r="DJ95" s="94"/>
      <c r="DK95" s="94"/>
      <c r="DL95" s="78"/>
      <c r="DM95" s="94"/>
      <c r="DN95" s="94"/>
      <c r="DO95" s="94"/>
      <c r="DP95" s="94"/>
    </row>
    <row r="96" spans="1:120">
      <c r="A96" s="73" t="e">
        <f ca="1">CELL("filename")</f>
        <v>#VALUE!</v>
      </c>
      <c r="Y96" s="73" t="e">
        <f ca="1">CELL("filename")</f>
        <v>#VALUE!</v>
      </c>
      <c r="AW96" s="73" t="e">
        <f ca="1">CELL("filename")</f>
        <v>#VALUE!</v>
      </c>
      <c r="BU96" s="73" t="e">
        <f ca="1">CELL("filename")</f>
        <v>#VALUE!</v>
      </c>
      <c r="CS96" s="73" t="e">
        <f ca="1">CELL("filename")</f>
        <v>#VALUE!</v>
      </c>
    </row>
    <row r="99" spans="1:1">
      <c r="A99" s="73" t="s">
        <v>204</v>
      </c>
    </row>
    <row r="100" spans="1:1">
      <c r="A100" s="73">
        <v>2015</v>
      </c>
    </row>
    <row r="101" spans="1:1">
      <c r="A101" s="73">
        <v>2025</v>
      </c>
    </row>
  </sheetData>
  <mergeCells count="60"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/>
  <cols>
    <col min="1" max="1" width="50.7109375" style="112" customWidth="1"/>
    <col min="2" max="2" width="13" style="112" customWidth="1"/>
    <col min="3" max="3" width="9.7109375" style="112" customWidth="1"/>
    <col min="4" max="4" width="10.140625" style="112" customWidth="1"/>
    <col min="5" max="5" width="13" style="112" customWidth="1"/>
    <col min="6" max="6" width="9.7109375" style="112" customWidth="1"/>
    <col min="7" max="7" width="3.7109375" style="112" customWidth="1"/>
    <col min="8" max="9" width="10.140625" style="112" customWidth="1"/>
    <col min="10" max="10" width="3.7109375" style="112" customWidth="1"/>
    <col min="11" max="12" width="10.140625" style="112" customWidth="1"/>
    <col min="13" max="13" width="3.7109375" style="112" customWidth="1"/>
    <col min="14" max="14" width="11.42578125" style="112" customWidth="1"/>
    <col min="15" max="15" width="10.140625" style="112" customWidth="1"/>
    <col min="16" max="16" width="3.7109375" style="112" customWidth="1"/>
    <col min="17" max="18" width="10.140625" style="112" customWidth="1"/>
    <col min="19" max="19" width="2.42578125" style="112" customWidth="1"/>
    <col min="20" max="22" width="13" style="112" customWidth="1"/>
    <col min="23" max="23" width="23.28515625" style="112" customWidth="1"/>
    <col min="24" max="24" width="9.140625" style="112"/>
    <col min="25" max="25" width="12.28515625" style="112" customWidth="1"/>
    <col min="26" max="26" width="10.85546875" style="112" customWidth="1"/>
    <col min="27" max="27" width="8.140625" style="112" customWidth="1"/>
    <col min="28" max="28" width="8" style="112" customWidth="1"/>
    <col min="29" max="16384" width="9.140625" style="112"/>
  </cols>
  <sheetData>
    <row r="1" spans="1:32" ht="12.75" customHeight="1">
      <c r="A1" s="110" t="e">
        <f>CONCATENATE("Table 4.6  Shift-share by industry, ",I3)</f>
        <v>#REF!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</row>
    <row r="2" spans="1:32" ht="12.75" customHeight="1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357" t="s">
        <v>182</v>
      </c>
      <c r="L2" s="357"/>
      <c r="M2" s="357"/>
      <c r="N2" s="357"/>
      <c r="O2" s="357"/>
      <c r="P2" s="357"/>
      <c r="Q2" s="357"/>
      <c r="R2" s="357"/>
      <c r="S2" s="169"/>
      <c r="T2" s="169"/>
      <c r="U2" s="111"/>
    </row>
    <row r="3" spans="1:32" ht="12.75" customHeight="1">
      <c r="A3" s="111"/>
      <c r="B3" s="113" t="s">
        <v>183</v>
      </c>
      <c r="C3" s="114" t="e">
        <f>#REF!</f>
        <v>#REF!</v>
      </c>
      <c r="D3" s="110"/>
      <c r="E3" s="113" t="s">
        <v>184</v>
      </c>
      <c r="F3" s="114" t="e">
        <f>#REF!</f>
        <v>#REF!</v>
      </c>
      <c r="G3" s="110"/>
      <c r="H3" s="113" t="s">
        <v>118</v>
      </c>
      <c r="I3" s="113" t="e">
        <f>CONCATENATE(C3,"-",F3)</f>
        <v>#REF!</v>
      </c>
      <c r="J3" s="110"/>
      <c r="K3" s="358" t="s">
        <v>185</v>
      </c>
      <c r="L3" s="358"/>
      <c r="M3" s="110"/>
      <c r="N3" s="359" t="s">
        <v>205</v>
      </c>
      <c r="O3" s="359"/>
      <c r="P3" s="110"/>
      <c r="Q3" s="359" t="s">
        <v>206</v>
      </c>
      <c r="R3" s="359"/>
      <c r="S3" s="169"/>
      <c r="T3" s="170" t="s">
        <v>207</v>
      </c>
      <c r="U3" s="134" t="s">
        <v>208</v>
      </c>
      <c r="V3" s="141"/>
      <c r="AA3" s="141"/>
      <c r="AD3" s="141"/>
    </row>
    <row r="4" spans="1:32" ht="12.75" customHeight="1">
      <c r="A4" s="115" t="s">
        <v>209</v>
      </c>
      <c r="B4" s="116" t="s">
        <v>139</v>
      </c>
      <c r="C4" s="116" t="s">
        <v>168</v>
      </c>
      <c r="D4" s="110"/>
      <c r="E4" s="116" t="str">
        <f>B4</f>
        <v>000s</v>
      </c>
      <c r="F4" s="116" t="str">
        <f>C4</f>
        <v>% share</v>
      </c>
      <c r="G4" s="110"/>
      <c r="H4" s="116" t="str">
        <f>E4</f>
        <v>000s</v>
      </c>
      <c r="I4" s="116" t="s">
        <v>189</v>
      </c>
      <c r="J4" s="110"/>
      <c r="K4" s="116" t="str">
        <f>H4</f>
        <v>000s</v>
      </c>
      <c r="L4" s="116" t="str">
        <f>I4</f>
        <v xml:space="preserve">%   </v>
      </c>
      <c r="M4" s="110"/>
      <c r="N4" s="116" t="str">
        <f>K4</f>
        <v>000s</v>
      </c>
      <c r="O4" s="116" t="str">
        <f>L4</f>
        <v xml:space="preserve">%   </v>
      </c>
      <c r="P4" s="110"/>
      <c r="Q4" s="116" t="str">
        <f>N4</f>
        <v>000s</v>
      </c>
      <c r="R4" s="116" t="str">
        <f>O4</f>
        <v xml:space="preserve">%   </v>
      </c>
      <c r="S4" s="135"/>
      <c r="T4" s="116"/>
      <c r="U4" s="145"/>
      <c r="V4" s="141"/>
      <c r="W4" s="146"/>
      <c r="Y4" s="142"/>
      <c r="Z4" s="142"/>
      <c r="AA4" s="141"/>
      <c r="AB4" s="142"/>
      <c r="AC4" s="141"/>
    </row>
    <row r="5" spans="1:32" ht="12.75" customHeight="1">
      <c r="A5" s="115"/>
      <c r="B5" s="113"/>
      <c r="C5" s="140"/>
      <c r="D5" s="110" t="s">
        <v>210</v>
      </c>
      <c r="E5" s="113"/>
      <c r="F5" s="140"/>
      <c r="G5" s="110"/>
      <c r="H5" s="113"/>
      <c r="I5" s="113"/>
      <c r="J5" s="110"/>
      <c r="K5" s="113"/>
      <c r="L5" s="113"/>
      <c r="M5" s="110"/>
      <c r="N5" s="113"/>
      <c r="O5" s="113"/>
      <c r="P5" s="110"/>
      <c r="Q5" s="140"/>
      <c r="R5" s="140"/>
      <c r="S5" s="116"/>
      <c r="T5" s="116"/>
      <c r="U5" s="136"/>
      <c r="V5" s="141"/>
      <c r="W5" s="118"/>
    </row>
    <row r="6" spans="1:32">
      <c r="A6" s="29" t="str">
        <f>name!A4</f>
        <v>Agriculture, etc</v>
      </c>
      <c r="B6" s="131">
        <v>290.31999999994002</v>
      </c>
      <c r="C6" s="122">
        <v>0.93859557238401636</v>
      </c>
      <c r="D6" s="143">
        <v>100</v>
      </c>
      <c r="E6" s="131">
        <v>302.0150000000844</v>
      </c>
      <c r="F6" s="122">
        <v>0.90967729595909619</v>
      </c>
      <c r="G6" s="127"/>
      <c r="H6" s="131">
        <v>11.695000000144354</v>
      </c>
      <c r="I6" s="123">
        <v>4.0283135850601992</v>
      </c>
      <c r="J6" s="127"/>
      <c r="K6" s="131">
        <v>21.295935731168065</v>
      </c>
      <c r="L6" s="123">
        <v>7.3353319547990026</v>
      </c>
      <c r="M6" s="127"/>
      <c r="N6" s="131">
        <v>-0.65613111154677028</v>
      </c>
      <c r="O6" s="123">
        <v>-0.22600272511260189</v>
      </c>
      <c r="P6" s="127"/>
      <c r="Q6" s="132">
        <v>-8.9448046194769404</v>
      </c>
      <c r="R6" s="122">
        <v>-3.0810156446262016</v>
      </c>
      <c r="S6" s="122"/>
      <c r="T6" s="381">
        <v>290.31999999994002</v>
      </c>
      <c r="U6" s="382">
        <v>302.0150000000844</v>
      </c>
      <c r="V6" s="147"/>
      <c r="Y6" s="117"/>
      <c r="Z6" s="132"/>
      <c r="AA6" s="132"/>
      <c r="AB6" s="117"/>
      <c r="AC6" s="132"/>
      <c r="AE6" s="117"/>
      <c r="AF6" s="132"/>
    </row>
    <row r="7" spans="1:32">
      <c r="A7" t="str">
        <f>name!A5</f>
        <v>Coal, oil &amp; gas; Mining &amp; related</v>
      </c>
      <c r="B7" s="132">
        <v>12.074999999997509</v>
      </c>
      <c r="C7" s="122">
        <v>3.9038101186749101E-2</v>
      </c>
      <c r="D7" s="144">
        <v>100</v>
      </c>
      <c r="E7" s="132">
        <v>12.334000000003453</v>
      </c>
      <c r="F7" s="122">
        <v>3.715033944790655E-2</v>
      </c>
      <c r="H7" s="132">
        <v>0.25900000000594448</v>
      </c>
      <c r="I7" s="122">
        <v>2.1449275362815561</v>
      </c>
      <c r="K7" s="132">
        <v>0.88574133354179663</v>
      </c>
      <c r="L7" s="122">
        <v>7.3353319547990017</v>
      </c>
      <c r="N7" s="132">
        <v>-4.283170925688029E-2</v>
      </c>
      <c r="O7" s="122">
        <v>-0.35471394829721842</v>
      </c>
      <c r="Q7" s="132">
        <v>-0.58390962427897186</v>
      </c>
      <c r="R7" s="122">
        <v>-4.8356904702202259</v>
      </c>
      <c r="S7" s="122"/>
      <c r="T7" s="381">
        <v>12.074999999997509</v>
      </c>
      <c r="U7" s="382">
        <v>12.334000000003453</v>
      </c>
      <c r="V7" s="147"/>
      <c r="W7" s="118"/>
      <c r="Y7" s="117"/>
      <c r="Z7" s="132"/>
      <c r="AA7" s="132"/>
      <c r="AB7" s="117"/>
      <c r="AC7" s="132"/>
      <c r="AE7" s="117"/>
      <c r="AF7" s="132"/>
    </row>
    <row r="8" spans="1:32">
      <c r="A8" t="str">
        <f>name!A6</f>
        <v>Food products</v>
      </c>
      <c r="B8" s="132">
        <v>10.050999999997924</v>
      </c>
      <c r="C8" s="122">
        <v>3.2494571844970191E-2</v>
      </c>
      <c r="D8" s="144">
        <v>100</v>
      </c>
      <c r="E8" s="132">
        <v>9.1810000000025642</v>
      </c>
      <c r="F8" s="122">
        <v>2.7653418718277107E-2</v>
      </c>
      <c r="H8" s="132">
        <v>-0.86999999999535793</v>
      </c>
      <c r="I8" s="122">
        <v>-8.6558551387477642</v>
      </c>
      <c r="K8" s="132">
        <v>0.7372742147766953</v>
      </c>
      <c r="L8" s="122">
        <v>7.3353319547990017</v>
      </c>
      <c r="N8" s="132">
        <v>-0.1098416494645672</v>
      </c>
      <c r="O8" s="122">
        <v>-1.0928429953695145</v>
      </c>
      <c r="Q8" s="132">
        <v>-1.497432565307486</v>
      </c>
      <c r="R8" s="122">
        <v>-14.898344098177249</v>
      </c>
      <c r="S8" s="122"/>
      <c r="T8" s="381">
        <v>10.050999999997924</v>
      </c>
      <c r="U8" s="382">
        <v>9.1810000000025642</v>
      </c>
      <c r="V8" s="147"/>
      <c r="Y8" s="117"/>
      <c r="Z8" s="132"/>
      <c r="AA8" s="132"/>
      <c r="AB8" s="117"/>
      <c r="AC8" s="132"/>
      <c r="AE8" s="117"/>
      <c r="AF8" s="132"/>
    </row>
    <row r="9" spans="1:32">
      <c r="A9" t="str">
        <f>name!A7</f>
        <v>Beverages and tobacco</v>
      </c>
      <c r="B9" s="132">
        <v>2.1699999999991144</v>
      </c>
      <c r="C9" s="122">
        <v>7.0155428219650902E-3</v>
      </c>
      <c r="D9" s="144">
        <v>100</v>
      </c>
      <c r="E9" s="132">
        <v>1.1269999999995304</v>
      </c>
      <c r="F9" s="122">
        <v>3.3945542855327972E-3</v>
      </c>
      <c r="H9" s="132">
        <v>-1.042999999999584</v>
      </c>
      <c r="I9" s="122">
        <v>-48.064516129032704</v>
      </c>
      <c r="K9" s="132">
        <v>0.15917670341907339</v>
      </c>
      <c r="L9" s="122">
        <v>7.3353319547990026</v>
      </c>
      <c r="N9" s="132">
        <v>-8.2157152051436144E-2</v>
      </c>
      <c r="O9" s="122">
        <v>-3.786043873339616</v>
      </c>
      <c r="Q9" s="132">
        <v>-1.1200195513672213</v>
      </c>
      <c r="R9" s="122">
        <v>-51.613804210492084</v>
      </c>
      <c r="S9" s="122"/>
      <c r="T9" s="381">
        <v>2.1699999999991144</v>
      </c>
      <c r="U9" s="382">
        <v>1.1269999999995304</v>
      </c>
      <c r="V9" s="147"/>
      <c r="W9" s="118"/>
      <c r="Y9" s="117"/>
      <c r="Z9" s="132"/>
      <c r="AA9" s="132"/>
      <c r="AB9" s="117"/>
      <c r="AC9" s="132"/>
      <c r="AE9" s="117"/>
      <c r="AF9" s="132"/>
    </row>
    <row r="10" spans="1:32">
      <c r="A10" t="str">
        <f>name!A8</f>
        <v>Textiles</v>
      </c>
      <c r="B10" s="132">
        <v>11.083999999995481</v>
      </c>
      <c r="C10" s="122">
        <v>3.5834228865742432E-2</v>
      </c>
      <c r="D10" s="144">
        <v>100</v>
      </c>
      <c r="E10" s="132">
        <v>7.2319999999969857</v>
      </c>
      <c r="F10" s="122">
        <v>2.1782978343365737E-2</v>
      </c>
      <c r="H10" s="132">
        <v>-3.851999999998494</v>
      </c>
      <c r="I10" s="122">
        <v>-34.75279682425176</v>
      </c>
      <c r="K10" s="132">
        <v>0.81304819386958971</v>
      </c>
      <c r="L10" s="122">
        <v>7.3353319547989999</v>
      </c>
      <c r="N10" s="132">
        <v>-0.31881093078995182</v>
      </c>
      <c r="O10" s="122">
        <v>-2.8763165895893343</v>
      </c>
      <c r="Q10" s="132">
        <v>-4.3462372630781321</v>
      </c>
      <c r="R10" s="122">
        <v>-39.211812189461426</v>
      </c>
      <c r="S10" s="122"/>
      <c r="T10" s="381">
        <v>11.083999999995481</v>
      </c>
      <c r="U10" s="382">
        <v>7.2319999999969857</v>
      </c>
      <c r="V10" s="147"/>
      <c r="Y10" s="117"/>
      <c r="Z10" s="132"/>
      <c r="AA10" s="132"/>
      <c r="AB10" s="117"/>
      <c r="AC10" s="132"/>
      <c r="AE10" s="117"/>
      <c r="AF10" s="132"/>
    </row>
    <row r="11" spans="1:32">
      <c r="A11" t="str">
        <f>name!A9</f>
        <v>Wearing apparel; Leather, etc</v>
      </c>
      <c r="B11" s="132">
        <v>37.589999999984677</v>
      </c>
      <c r="C11" s="122">
        <v>0.12152730630307274</v>
      </c>
      <c r="D11" s="144">
        <v>100</v>
      </c>
      <c r="E11" s="132">
        <v>29.919999999987525</v>
      </c>
      <c r="F11" s="122">
        <v>9.0119844031181243E-2</v>
      </c>
      <c r="H11" s="132">
        <v>-7.6699999999971515</v>
      </c>
      <c r="I11" s="122">
        <v>-20.404362862464161</v>
      </c>
      <c r="K11" s="132">
        <v>2.7573512818078205</v>
      </c>
      <c r="L11" s="122">
        <v>7.3353319547990017</v>
      </c>
      <c r="N11" s="132">
        <v>-0.7126086226066608</v>
      </c>
      <c r="O11" s="122">
        <v>-1.8957398845622542</v>
      </c>
      <c r="Q11" s="132">
        <v>-9.7147426591983113</v>
      </c>
      <c r="R11" s="122">
        <v>-25.843954932700907</v>
      </c>
      <c r="S11" s="122"/>
      <c r="T11" s="381">
        <v>37.589999999984677</v>
      </c>
      <c r="U11" s="382">
        <v>29.919999999987525</v>
      </c>
      <c r="V11" s="147"/>
      <c r="W11" s="118"/>
      <c r="Y11" s="117"/>
      <c r="Z11" s="132"/>
      <c r="AA11" s="132"/>
      <c r="AB11" s="117"/>
      <c r="AC11" s="132"/>
      <c r="AE11" s="117"/>
      <c r="AF11" s="132"/>
    </row>
    <row r="12" spans="1:32">
      <c r="A12" t="str">
        <f>name!A10</f>
        <v xml:space="preserve">Wood and cork </v>
      </c>
      <c r="B12" s="132">
        <v>395.97300000001809</v>
      </c>
      <c r="C12" s="122">
        <v>1.2801684506190061</v>
      </c>
      <c r="D12" s="144">
        <v>100</v>
      </c>
      <c r="E12" s="132">
        <v>368.47099999980418</v>
      </c>
      <c r="F12" s="122">
        <v>1.1098445538104806</v>
      </c>
      <c r="H12" s="132">
        <v>-27.502000000213915</v>
      </c>
      <c r="I12" s="122">
        <v>-6.945423046574553</v>
      </c>
      <c r="K12" s="132">
        <v>29.045934001377578</v>
      </c>
      <c r="L12" s="122">
        <v>7.3353319547990017</v>
      </c>
      <c r="N12" s="132">
        <v>-3.864504443275159</v>
      </c>
      <c r="O12" s="122">
        <v>-0.97595150257087782</v>
      </c>
      <c r="Q12" s="132">
        <v>-52.683429558316334</v>
      </c>
      <c r="R12" s="122">
        <v>-13.304803498802679</v>
      </c>
      <c r="S12" s="122"/>
      <c r="T12" s="381">
        <v>395.97300000001809</v>
      </c>
      <c r="U12" s="382">
        <v>368.47099999980418</v>
      </c>
      <c r="V12" s="147"/>
      <c r="Y12" s="117"/>
      <c r="Z12" s="132"/>
      <c r="AA12" s="132"/>
      <c r="AB12" s="117"/>
      <c r="AC12" s="132"/>
      <c r="AE12" s="117"/>
      <c r="AF12" s="132"/>
    </row>
    <row r="13" spans="1:32">
      <c r="A13" t="str">
        <f>name!A11</f>
        <v>Paper, etc</v>
      </c>
      <c r="B13" s="132">
        <v>75.845999999976854</v>
      </c>
      <c r="C13" s="122">
        <v>0.24520776998839583</v>
      </c>
      <c r="D13" s="144">
        <v>100</v>
      </c>
      <c r="E13" s="132">
        <v>49.305999999976621</v>
      </c>
      <c r="F13" s="122">
        <v>0.14851099698533315</v>
      </c>
      <c r="H13" s="132">
        <v>-26.540000000000227</v>
      </c>
      <c r="I13" s="122">
        <v>-34.991957387348478</v>
      </c>
      <c r="K13" s="132">
        <v>5.5635558744351528</v>
      </c>
      <c r="L13" s="122">
        <v>7.3353319547990017</v>
      </c>
      <c r="N13" s="132">
        <v>-2.1939675871835931</v>
      </c>
      <c r="O13" s="122">
        <v>-2.8926609012792532</v>
      </c>
      <c r="Q13" s="132">
        <v>-29.909588287251786</v>
      </c>
      <c r="R13" s="122">
        <v>-39.434628440868224</v>
      </c>
      <c r="S13" s="122"/>
      <c r="T13" s="381">
        <v>75.845999999976854</v>
      </c>
      <c r="U13" s="382">
        <v>49.305999999976621</v>
      </c>
      <c r="V13" s="147"/>
      <c r="Y13" s="117"/>
      <c r="Z13" s="132"/>
      <c r="AA13" s="132"/>
      <c r="AB13" s="117"/>
      <c r="AC13" s="132"/>
      <c r="AE13" s="117"/>
      <c r="AF13" s="132"/>
    </row>
    <row r="14" spans="1:32">
      <c r="A14" t="str">
        <f>name!A12</f>
        <v>Printing and recording</v>
      </c>
      <c r="B14" s="132">
        <v>73.1450000000373</v>
      </c>
      <c r="C14" s="122">
        <v>0.2364755206051187</v>
      </c>
      <c r="D14" s="144">
        <v>100</v>
      </c>
      <c r="E14" s="132">
        <v>122.94699999997626</v>
      </c>
      <c r="F14" s="122">
        <v>0.37031966791791843</v>
      </c>
      <c r="H14" s="132">
        <v>49.801999999938957</v>
      </c>
      <c r="I14" s="122">
        <v>68.086677148012257</v>
      </c>
      <c r="K14" s="132">
        <v>5.3654285583404651</v>
      </c>
      <c r="L14" s="122">
        <v>7.3353319547989999</v>
      </c>
      <c r="N14" s="132">
        <v>3.0368099350038165</v>
      </c>
      <c r="O14" s="122">
        <v>4.1517669492135729</v>
      </c>
      <c r="Q14" s="132">
        <v>41.399761506594672</v>
      </c>
      <c r="R14" s="122">
        <v>56.599578243999673</v>
      </c>
      <c r="S14" s="122"/>
      <c r="T14" s="381">
        <v>73.1450000000373</v>
      </c>
      <c r="U14" s="382">
        <v>122.94699999997626</v>
      </c>
      <c r="V14" s="147"/>
      <c r="Y14" s="117"/>
      <c r="Z14" s="132"/>
      <c r="AA14" s="132"/>
      <c r="AB14" s="117"/>
      <c r="AC14" s="132"/>
      <c r="AE14" s="117"/>
      <c r="AF14" s="132"/>
    </row>
    <row r="15" spans="1:32">
      <c r="A15" t="str">
        <f>name!A13</f>
        <v>Coke and petroleum; Chemicals, etc</v>
      </c>
      <c r="B15" s="132">
        <v>80.073000000040807</v>
      </c>
      <c r="C15" s="122">
        <v>0.25887353013074937</v>
      </c>
      <c r="D15" s="144">
        <v>100</v>
      </c>
      <c r="E15" s="132">
        <v>72.98899999998595</v>
      </c>
      <c r="F15" s="122">
        <v>0.2198448294115429</v>
      </c>
      <c r="H15" s="132">
        <v>-7.0840000000548606</v>
      </c>
      <c r="I15" s="122">
        <v>-8.846927179013214</v>
      </c>
      <c r="K15" s="132">
        <v>5.873620356169198</v>
      </c>
      <c r="L15" s="122">
        <v>7.3353319547990017</v>
      </c>
      <c r="N15" s="132">
        <v>-0.88552804492364956</v>
      </c>
      <c r="O15" s="122">
        <v>-1.1059009215630717</v>
      </c>
      <c r="Q15" s="132">
        <v>-12.072092311300409</v>
      </c>
      <c r="R15" s="122">
        <v>-15.076358212249144</v>
      </c>
      <c r="S15" s="122"/>
      <c r="T15" s="381">
        <v>80.073000000040807</v>
      </c>
      <c r="U15" s="382">
        <v>72.98899999998595</v>
      </c>
      <c r="V15" s="147"/>
      <c r="Y15" s="117"/>
      <c r="Z15" s="132"/>
      <c r="AA15" s="132"/>
      <c r="AB15" s="117"/>
      <c r="AC15" s="132"/>
      <c r="AE15" s="117"/>
      <c r="AF15" s="132"/>
    </row>
    <row r="16" spans="1:32">
      <c r="A16" t="str">
        <f>name!A14</f>
        <v>Pharmaceuticals</v>
      </c>
      <c r="B16" s="132">
        <v>104.71500000005337</v>
      </c>
      <c r="C16" s="122">
        <v>0.33854035327315601</v>
      </c>
      <c r="D16" s="144">
        <v>100</v>
      </c>
      <c r="E16" s="132">
        <v>86.702999999983263</v>
      </c>
      <c r="F16" s="122">
        <v>0.26115176594375861</v>
      </c>
      <c r="H16" s="132">
        <v>-18.012000000070095</v>
      </c>
      <c r="I16" s="122">
        <v>-17.200974072540628</v>
      </c>
      <c r="K16" s="132">
        <v>7.6811928564716885</v>
      </c>
      <c r="L16" s="122">
        <v>7.3353319547990017</v>
      </c>
      <c r="N16" s="132">
        <v>-1.7558812662057193</v>
      </c>
      <c r="O16" s="122">
        <v>-1.6768192390821033</v>
      </c>
      <c r="Q16" s="132">
        <v>-23.937311590336066</v>
      </c>
      <c r="R16" s="122">
        <v>-22.859486788257524</v>
      </c>
      <c r="S16" s="122"/>
      <c r="T16" s="381">
        <v>104.71500000005337</v>
      </c>
      <c r="U16" s="382">
        <v>86.702999999983263</v>
      </c>
      <c r="V16" s="147"/>
      <c r="Y16" s="117"/>
      <c r="Z16" s="132"/>
      <c r="AA16" s="132"/>
      <c r="AB16" s="117"/>
      <c r="AC16" s="132"/>
      <c r="AE16" s="117"/>
      <c r="AF16" s="132"/>
    </row>
    <row r="17" spans="1:32">
      <c r="A17" t="str">
        <f>name!A15</f>
        <v>Rubber and plastic</v>
      </c>
      <c r="B17" s="132">
        <v>11.055999999985691</v>
      </c>
      <c r="C17" s="122">
        <v>3.5743705732524098E-2</v>
      </c>
      <c r="D17" s="144">
        <v>100</v>
      </c>
      <c r="E17" s="132">
        <v>18.25699999999954</v>
      </c>
      <c r="F17" s="122">
        <v>5.4990574614903753E-2</v>
      </c>
      <c r="H17" s="132">
        <v>7.2010000000138481</v>
      </c>
      <c r="I17" s="122">
        <v>65.132054992973664</v>
      </c>
      <c r="K17" s="132">
        <v>0.81099430092152791</v>
      </c>
      <c r="L17" s="122">
        <v>7.3353319547990017</v>
      </c>
      <c r="N17" s="132">
        <v>0.43669509510288052</v>
      </c>
      <c r="O17" s="122">
        <v>3.9498470975347839</v>
      </c>
      <c r="Q17" s="132">
        <v>5.9533106039894399</v>
      </c>
      <c r="R17" s="122">
        <v>53.846875940639883</v>
      </c>
      <c r="S17" s="122"/>
      <c r="T17" s="381">
        <v>11.055999999985691</v>
      </c>
      <c r="U17" s="382">
        <v>18.25699999999954</v>
      </c>
      <c r="V17" s="147"/>
      <c r="Y17" s="117"/>
      <c r="Z17" s="132"/>
      <c r="AA17" s="132"/>
      <c r="AB17" s="117"/>
      <c r="AC17" s="132"/>
      <c r="AE17" s="117"/>
      <c r="AF17" s="132"/>
    </row>
    <row r="18" spans="1:32">
      <c r="A18" t="str">
        <f>name!A16</f>
        <v>Other non-metallic</v>
      </c>
      <c r="B18" s="132">
        <v>93.389000000008025</v>
      </c>
      <c r="C18" s="122">
        <v>0.30192374589899607</v>
      </c>
      <c r="D18" s="144">
        <v>100</v>
      </c>
      <c r="E18" s="132">
        <v>88.958999999932729</v>
      </c>
      <c r="F18" s="122">
        <v>0.26794689856842019</v>
      </c>
      <c r="H18" s="132">
        <v>-4.4300000000752915</v>
      </c>
      <c r="I18" s="122">
        <v>-4.7435993533231011</v>
      </c>
      <c r="K18" s="132">
        <v>6.8503931592678278</v>
      </c>
      <c r="L18" s="122">
        <v>7.3353319547990017</v>
      </c>
      <c r="N18" s="132">
        <v>-0.77090578561093448</v>
      </c>
      <c r="O18" s="122">
        <v>-0.82547814583180912</v>
      </c>
      <c r="Q18" s="132">
        <v>-10.509487373732185</v>
      </c>
      <c r="R18" s="122">
        <v>-11.253453162290294</v>
      </c>
      <c r="S18" s="122"/>
      <c r="T18" s="381">
        <v>93.389000000008025</v>
      </c>
      <c r="U18" s="382">
        <v>88.958999999932729</v>
      </c>
      <c r="V18" s="147"/>
      <c r="Y18" s="117"/>
      <c r="Z18" s="132"/>
      <c r="AA18" s="132"/>
      <c r="AB18" s="117"/>
      <c r="AC18" s="132"/>
      <c r="AE18" s="117"/>
      <c r="AF18" s="132"/>
    </row>
    <row r="19" spans="1:32">
      <c r="A19" t="str">
        <f>name!A17</f>
        <v>Basic metals</v>
      </c>
      <c r="B19" s="132">
        <v>27.854999999989587</v>
      </c>
      <c r="C19" s="122">
        <v>9.0054352675504282E-2</v>
      </c>
      <c r="D19" s="144">
        <v>100</v>
      </c>
      <c r="E19" s="132">
        <v>33.922000000006818</v>
      </c>
      <c r="F19" s="122">
        <v>0.1021739755757894</v>
      </c>
      <c r="H19" s="132">
        <v>6.0670000000172291</v>
      </c>
      <c r="I19" s="122">
        <v>21.78064979364386</v>
      </c>
      <c r="K19" s="132">
        <v>2.0432567160084982</v>
      </c>
      <c r="L19" s="122">
        <v>7.3353319547990017</v>
      </c>
      <c r="N19" s="132">
        <v>0.27498394192814857</v>
      </c>
      <c r="O19" s="122">
        <v>0.98719778111021839</v>
      </c>
      <c r="Q19" s="132">
        <v>3.7487593420805823</v>
      </c>
      <c r="R19" s="122">
        <v>13.458120057734638</v>
      </c>
      <c r="S19" s="122"/>
      <c r="T19" s="381">
        <v>27.854999999989587</v>
      </c>
      <c r="U19" s="382">
        <v>33.922000000006818</v>
      </c>
      <c r="V19" s="147"/>
      <c r="Y19" s="117"/>
      <c r="Z19" s="132"/>
      <c r="AA19" s="132"/>
      <c r="AB19" s="117"/>
      <c r="AC19" s="132"/>
      <c r="AE19" s="117"/>
      <c r="AF19" s="132"/>
    </row>
    <row r="20" spans="1:32">
      <c r="A20" t="str">
        <f>name!A18</f>
        <v>Metal products</v>
      </c>
      <c r="B20" s="132">
        <v>171.25499999999897</v>
      </c>
      <c r="C20" s="122">
        <v>0.55366211335304816</v>
      </c>
      <c r="D20" s="144">
        <v>100</v>
      </c>
      <c r="E20" s="132">
        <v>174.72100000005108</v>
      </c>
      <c r="F20" s="122">
        <v>0.52626434722537385</v>
      </c>
      <c r="H20" s="132">
        <v>3.4660000000520959</v>
      </c>
      <c r="I20" s="122">
        <v>2.0238825144095745</v>
      </c>
      <c r="K20" s="132">
        <v>12.562122739190956</v>
      </c>
      <c r="L20" s="122">
        <v>7.3353319547990026</v>
      </c>
      <c r="N20" s="132">
        <v>-0.62163202533603767</v>
      </c>
      <c r="O20" s="122">
        <v>-0.36298620497856493</v>
      </c>
      <c r="Q20" s="132">
        <v>-8.4744907138028225</v>
      </c>
      <c r="R20" s="122">
        <v>-4.9484632354108635</v>
      </c>
      <c r="S20" s="122"/>
      <c r="T20" s="381">
        <v>171.25499999999897</v>
      </c>
      <c r="U20" s="382">
        <v>174.72100000005108</v>
      </c>
      <c r="V20" s="147"/>
      <c r="Y20" s="117"/>
      <c r="Z20" s="132"/>
      <c r="AA20" s="132"/>
      <c r="AB20" s="117"/>
      <c r="AC20" s="132"/>
      <c r="AE20" s="117"/>
      <c r="AF20" s="132"/>
    </row>
    <row r="21" spans="1:32">
      <c r="A21" t="str">
        <f>name!A19</f>
        <v>Computer, etc</v>
      </c>
      <c r="B21" s="132">
        <v>80.063999999999524</v>
      </c>
      <c r="C21" s="122">
        <v>0.25884443340923446</v>
      </c>
      <c r="D21" s="144">
        <v>100</v>
      </c>
      <c r="E21" s="132">
        <v>93.491000000027313</v>
      </c>
      <c r="F21" s="122">
        <v>0.28159740435578678</v>
      </c>
      <c r="H21" s="132">
        <v>13.427000000027794</v>
      </c>
      <c r="I21" s="122">
        <v>16.770333733048403</v>
      </c>
      <c r="K21" s="132">
        <v>5.8729601762902375</v>
      </c>
      <c r="L21" s="122">
        <v>7.3353319547990017</v>
      </c>
      <c r="N21" s="132">
        <v>0.51624557075223443</v>
      </c>
      <c r="O21" s="122">
        <v>0.64479113053586812</v>
      </c>
      <c r="Q21" s="132">
        <v>7.0377942529853215</v>
      </c>
      <c r="R21" s="122">
        <v>8.7902106477135344</v>
      </c>
      <c r="S21" s="122"/>
      <c r="T21" s="381">
        <v>80.063999999999524</v>
      </c>
      <c r="U21" s="382">
        <v>93.491000000027313</v>
      </c>
      <c r="V21" s="147"/>
      <c r="Y21" s="117"/>
      <c r="Z21" s="132"/>
      <c r="AA21" s="132"/>
      <c r="AB21" s="117"/>
      <c r="AC21" s="132"/>
      <c r="AE21" s="117"/>
      <c r="AF21" s="132"/>
    </row>
    <row r="22" spans="1:32">
      <c r="A22" t="str">
        <f>name!A20</f>
        <v>Electrical equipment</v>
      </c>
      <c r="B22" s="132">
        <v>66.058000000045865</v>
      </c>
      <c r="C22" s="122">
        <v>0.21356346900178841</v>
      </c>
      <c r="D22" s="144">
        <v>100</v>
      </c>
      <c r="E22" s="132">
        <v>69.29699999994429</v>
      </c>
      <c r="F22" s="122">
        <v>0.20872442619740475</v>
      </c>
      <c r="H22" s="132">
        <v>3.2389999998984278</v>
      </c>
      <c r="I22" s="122">
        <v>4.9032668259653311</v>
      </c>
      <c r="K22" s="132">
        <v>4.845573582704489</v>
      </c>
      <c r="L22" s="122">
        <v>7.3353319547990017</v>
      </c>
      <c r="N22" s="132">
        <v>-0.10979376804513397</v>
      </c>
      <c r="O22" s="122">
        <v>-0.16620813231562828</v>
      </c>
      <c r="Q22" s="132">
        <v>-1.4967798147609273</v>
      </c>
      <c r="R22" s="122">
        <v>-2.2658569965180417</v>
      </c>
      <c r="S22" s="122"/>
      <c r="T22" s="381">
        <v>66.058000000045865</v>
      </c>
      <c r="U22" s="382">
        <v>69.29699999994429</v>
      </c>
      <c r="V22" s="147"/>
      <c r="Y22" s="117"/>
      <c r="Z22" s="132"/>
      <c r="AA22" s="132"/>
      <c r="AB22" s="117"/>
      <c r="AC22" s="132"/>
      <c r="AE22" s="117"/>
      <c r="AF22" s="132"/>
    </row>
    <row r="23" spans="1:32">
      <c r="A23" t="str">
        <f>name!A21</f>
        <v>Machinery n.e.c.</v>
      </c>
      <c r="B23" s="132">
        <v>320.67900000022286</v>
      </c>
      <c r="C23" s="122">
        <v>1.036745279542592</v>
      </c>
      <c r="D23" s="144">
        <v>100</v>
      </c>
      <c r="E23" s="132">
        <v>294.9469999997628</v>
      </c>
      <c r="F23" s="122">
        <v>0.88838829002187569</v>
      </c>
      <c r="H23" s="132">
        <v>-25.732000000460072</v>
      </c>
      <c r="I23" s="122">
        <v>-8.0242236006854792</v>
      </c>
      <c r="K23" s="132">
        <v>23.522869159346239</v>
      </c>
      <c r="L23" s="122">
        <v>7.3353319547990017</v>
      </c>
      <c r="N23" s="132">
        <v>-3.366093988785714</v>
      </c>
      <c r="O23" s="122">
        <v>-1.0496770879238662</v>
      </c>
      <c r="Q23" s="132">
        <v>-45.888775171020598</v>
      </c>
      <c r="R23" s="122">
        <v>-14.309878467560615</v>
      </c>
      <c r="S23" s="122"/>
      <c r="T23" s="381">
        <v>320.67900000022286</v>
      </c>
      <c r="U23" s="382">
        <v>294.9469999997628</v>
      </c>
      <c r="V23" s="147"/>
      <c r="Y23" s="117"/>
      <c r="Z23" s="132"/>
      <c r="AA23" s="132"/>
      <c r="AB23" s="117"/>
      <c r="AC23" s="132"/>
      <c r="AE23" s="117"/>
      <c r="AF23" s="132"/>
    </row>
    <row r="24" spans="1:32">
      <c r="A24" t="str">
        <f>name!A22</f>
        <v>Motor vehicles, etc</v>
      </c>
      <c r="B24" s="132">
        <v>140.47299999999331</v>
      </c>
      <c r="C24" s="122">
        <v>0.45414486029044115</v>
      </c>
      <c r="D24" s="144">
        <v>100</v>
      </c>
      <c r="E24" s="132">
        <v>162.91900000005276</v>
      </c>
      <c r="F24" s="122">
        <v>0.49071640607375983</v>
      </c>
      <c r="H24" s="132">
        <v>22.44600000005946</v>
      </c>
      <c r="I24" s="122">
        <v>15.97887138457962</v>
      </c>
      <c r="K24" s="132">
        <v>10.304160856864311</v>
      </c>
      <c r="L24" s="122">
        <v>7.3353319547990017</v>
      </c>
      <c r="N24" s="132">
        <v>0.82977728801001405</v>
      </c>
      <c r="O24" s="122">
        <v>0.59070233283980089</v>
      </c>
      <c r="Q24" s="132">
        <v>11.312061855185135</v>
      </c>
      <c r="R24" s="122">
        <v>8.0528370969408165</v>
      </c>
      <c r="S24" s="122"/>
      <c r="T24" s="381">
        <v>140.47299999999331</v>
      </c>
      <c r="U24" s="382">
        <v>162.91900000005276</v>
      </c>
      <c r="V24" s="147"/>
      <c r="Y24" s="117"/>
      <c r="Z24" s="132"/>
      <c r="AA24" s="132"/>
      <c r="AB24" s="117"/>
      <c r="AC24" s="132"/>
      <c r="AE24" s="117"/>
      <c r="AF24" s="132"/>
    </row>
    <row r="25" spans="1:32">
      <c r="A25" t="str">
        <f>name!A23</f>
        <v>Other transport equipment</v>
      </c>
      <c r="B25" s="132">
        <v>67.744000000034035</v>
      </c>
      <c r="C25" s="122">
        <v>0.21901425480720543</v>
      </c>
      <c r="D25" s="144">
        <v>100</v>
      </c>
      <c r="E25" s="132">
        <v>77.434000000005142</v>
      </c>
      <c r="F25" s="122">
        <v>0.23323328886075737</v>
      </c>
      <c r="H25" s="132">
        <v>9.6899999999711</v>
      </c>
      <c r="I25" s="122">
        <v>14.303849787385202</v>
      </c>
      <c r="K25" s="132">
        <v>4.9692472794615323</v>
      </c>
      <c r="L25" s="122">
        <v>7.3353319547990017</v>
      </c>
      <c r="N25" s="132">
        <v>0.32261779649633304</v>
      </c>
      <c r="O25" s="122">
        <v>0.4762308049364829</v>
      </c>
      <c r="Q25" s="132">
        <v>4.3981349240132346</v>
      </c>
      <c r="R25" s="122">
        <v>6.4922870276497182</v>
      </c>
      <c r="S25" s="122"/>
      <c r="T25" s="381">
        <v>67.744000000034035</v>
      </c>
      <c r="U25" s="382">
        <v>77.434000000005142</v>
      </c>
      <c r="V25" s="147"/>
      <c r="Y25" s="117"/>
      <c r="Z25" s="132"/>
      <c r="AA25" s="132"/>
      <c r="AB25" s="117"/>
      <c r="AC25" s="132"/>
      <c r="AE25" s="117"/>
      <c r="AF25" s="132"/>
    </row>
    <row r="26" spans="1:32">
      <c r="A26" t="str">
        <f>name!A24</f>
        <v>Furniture</v>
      </c>
      <c r="B26" s="132">
        <v>182.40299999999939</v>
      </c>
      <c r="C26" s="122">
        <v>0.58970325223751896</v>
      </c>
      <c r="D26" s="144">
        <v>100</v>
      </c>
      <c r="E26" s="132">
        <v>185.13999999993501</v>
      </c>
      <c r="F26" s="122">
        <v>0.55764665521169765</v>
      </c>
      <c r="H26" s="132">
        <v>2.7369999999356223</v>
      </c>
      <c r="I26" s="122">
        <v>1.5005235659148322</v>
      </c>
      <c r="K26" s="132">
        <v>13.379865545511977</v>
      </c>
      <c r="L26" s="122">
        <v>7.3353319547990017</v>
      </c>
      <c r="N26" s="132">
        <v>-0.727336938408782</v>
      </c>
      <c r="O26" s="122">
        <v>-0.39875272797529882</v>
      </c>
      <c r="Q26" s="132">
        <v>-9.9155286071675732</v>
      </c>
      <c r="R26" s="122">
        <v>-5.4360556609088704</v>
      </c>
      <c r="S26" s="122"/>
      <c r="T26" s="381">
        <v>182.40299999999939</v>
      </c>
      <c r="U26" s="382">
        <v>185.13999999993501</v>
      </c>
      <c r="V26" s="147"/>
      <c r="Y26" s="117"/>
      <c r="Z26" s="132"/>
      <c r="AA26" s="132"/>
      <c r="AB26" s="117"/>
      <c r="AC26" s="132"/>
      <c r="AE26" s="117"/>
      <c r="AF26" s="132"/>
    </row>
    <row r="27" spans="1:32">
      <c r="A27" t="str">
        <f>name!A25</f>
        <v>Other manufacturing</v>
      </c>
      <c r="B27" s="132">
        <v>90.135000000064551</v>
      </c>
      <c r="C27" s="122">
        <v>0.29140366463526929</v>
      </c>
      <c r="D27" s="144">
        <v>100</v>
      </c>
      <c r="E27" s="132">
        <v>65.68600000003066</v>
      </c>
      <c r="F27" s="122">
        <v>0.19784799716034099</v>
      </c>
      <c r="H27" s="132">
        <v>-24.449000000033891</v>
      </c>
      <c r="I27" s="122">
        <v>-27.124868253193966</v>
      </c>
      <c r="K27" s="132">
        <v>6.6117014574628152</v>
      </c>
      <c r="L27" s="122">
        <v>7.3353319547990017</v>
      </c>
      <c r="N27" s="132">
        <v>-2.1226985726898846</v>
      </c>
      <c r="O27" s="122">
        <v>-2.3550214374974918</v>
      </c>
      <c r="Q27" s="132">
        <v>-28.938002884806821</v>
      </c>
      <c r="R27" s="122">
        <v>-32.105178770495471</v>
      </c>
      <c r="S27" s="122"/>
      <c r="T27" s="381">
        <v>90.135000000064551</v>
      </c>
      <c r="U27" s="382">
        <v>65.68600000003066</v>
      </c>
      <c r="V27" s="147"/>
      <c r="Y27" s="117"/>
      <c r="Z27" s="132"/>
      <c r="AA27" s="132"/>
      <c r="AB27" s="117"/>
      <c r="AC27" s="132"/>
      <c r="AE27" s="117"/>
      <c r="AF27" s="132"/>
    </row>
    <row r="28" spans="1:32">
      <c r="A28" t="str">
        <f>name!A26</f>
        <v>Repair and installation</v>
      </c>
      <c r="B28" s="132">
        <v>65.316000000028879</v>
      </c>
      <c r="C28" s="122">
        <v>0.2111646059722864</v>
      </c>
      <c r="D28" s="144">
        <v>100</v>
      </c>
      <c r="E28" s="132">
        <v>58.65599999997378</v>
      </c>
      <c r="F28" s="122">
        <v>0.17667344824508047</v>
      </c>
      <c r="H28" s="132">
        <v>-6.6600000000551081</v>
      </c>
      <c r="I28" s="122">
        <v>-10.196582766936375</v>
      </c>
      <c r="K28" s="132">
        <v>4.7911454195986343</v>
      </c>
      <c r="L28" s="122">
        <v>7.3353319547990017</v>
      </c>
      <c r="N28" s="132">
        <v>-0.78257505134664118</v>
      </c>
      <c r="O28" s="122">
        <v>-1.1981368291786012</v>
      </c>
      <c r="Q28" s="132">
        <v>-10.668570368307101</v>
      </c>
      <c r="R28" s="122">
        <v>-16.333777892556778</v>
      </c>
      <c r="S28" s="122"/>
      <c r="T28" s="381">
        <v>65.316000000028879</v>
      </c>
      <c r="U28" s="382">
        <v>58.65599999997378</v>
      </c>
      <c r="V28" s="147"/>
      <c r="Y28" s="117"/>
      <c r="Z28" s="132"/>
      <c r="AA28" s="132"/>
      <c r="AB28" s="117"/>
      <c r="AC28" s="132"/>
      <c r="AE28" s="117"/>
      <c r="AF28" s="132"/>
    </row>
    <row r="29" spans="1:32">
      <c r="A29" t="str">
        <f>name!A27</f>
        <v>Electricity, gas, etc</v>
      </c>
      <c r="B29" s="132">
        <v>217.60999999992853</v>
      </c>
      <c r="C29" s="122">
        <v>0.70352639331241695</v>
      </c>
      <c r="D29" s="144">
        <v>100</v>
      </c>
      <c r="E29" s="132">
        <v>203.759000000095</v>
      </c>
      <c r="F29" s="122">
        <v>0.61372758355500256</v>
      </c>
      <c r="H29" s="132">
        <v>-13.850999999833526</v>
      </c>
      <c r="I29" s="122">
        <v>-6.3650567528321655</v>
      </c>
      <c r="K29" s="132">
        <v>15.962415866832863</v>
      </c>
      <c r="L29" s="122">
        <v>7.3353319547990017</v>
      </c>
      <c r="N29" s="132">
        <v>-2.03745866440849</v>
      </c>
      <c r="O29" s="122">
        <v>-0.93628907881492551</v>
      </c>
      <c r="Q29" s="132">
        <v>-27.775957202257899</v>
      </c>
      <c r="R29" s="122">
        <v>-12.764099628816242</v>
      </c>
      <c r="S29" s="122"/>
      <c r="T29" s="381">
        <v>217.60999999992853</v>
      </c>
      <c r="U29" s="382">
        <v>203.759000000095</v>
      </c>
      <c r="V29" s="147"/>
      <c r="W29" s="383"/>
      <c r="Y29" s="117"/>
      <c r="Z29" s="132"/>
      <c r="AA29" s="132"/>
      <c r="AB29" s="117"/>
      <c r="AC29" s="132"/>
      <c r="AE29" s="117"/>
      <c r="AF29" s="132"/>
    </row>
    <row r="30" spans="1:32">
      <c r="A30" t="str">
        <f>name!A28</f>
        <v>Water</v>
      </c>
      <c r="B30" s="132">
        <v>76.56499999997483</v>
      </c>
      <c r="C30" s="122">
        <v>0.24753227472986161</v>
      </c>
      <c r="D30" s="144">
        <v>100</v>
      </c>
      <c r="E30" s="132">
        <v>91.782000000042814</v>
      </c>
      <c r="F30" s="122">
        <v>0.27644985043038717</v>
      </c>
      <c r="H30" s="132">
        <v>15.217000000067987</v>
      </c>
      <c r="I30" s="122">
        <v>19.874616339153647</v>
      </c>
      <c r="K30" s="132">
        <v>5.616296911190009</v>
      </c>
      <c r="L30" s="122">
        <v>7.3353319547990017</v>
      </c>
      <c r="N30" s="132">
        <v>0.65611521270592732</v>
      </c>
      <c r="O30" s="122">
        <v>0.85693882675653765</v>
      </c>
      <c r="Q30" s="132">
        <v>8.9445878761720508</v>
      </c>
      <c r="R30" s="122">
        <v>11.682345557598108</v>
      </c>
      <c r="S30" s="122"/>
      <c r="T30" s="381">
        <v>76.56499999997483</v>
      </c>
      <c r="U30" s="382">
        <v>91.782000000042814</v>
      </c>
      <c r="V30" s="147"/>
      <c r="Y30" s="117"/>
      <c r="Z30" s="132"/>
      <c r="AA30" s="132"/>
      <c r="AB30" s="117"/>
      <c r="AC30" s="132"/>
      <c r="AE30" s="117"/>
      <c r="AF30" s="132"/>
    </row>
    <row r="31" spans="1:32">
      <c r="A31" t="str">
        <f>name!A29</f>
        <v>Sewerage</v>
      </c>
      <c r="B31" s="132">
        <v>82.465999999925302</v>
      </c>
      <c r="C31" s="122">
        <v>0.266610025048795</v>
      </c>
      <c r="D31" s="144">
        <v>100</v>
      </c>
      <c r="E31" s="132">
        <v>87.377999999966974</v>
      </c>
      <c r="F31" s="122">
        <v>0.26318488408278279</v>
      </c>
      <c r="H31" s="132">
        <v>4.9120000000416617</v>
      </c>
      <c r="I31" s="122">
        <v>5.9563941503724092</v>
      </c>
      <c r="K31" s="132">
        <v>6.0491548498390655</v>
      </c>
      <c r="L31" s="122">
        <v>7.3353319547990017</v>
      </c>
      <c r="N31" s="132">
        <v>-7.7713537149029399E-2</v>
      </c>
      <c r="O31" s="122">
        <v>-9.4237063940411564E-2</v>
      </c>
      <c r="Q31" s="132">
        <v>-1.0594413126483744</v>
      </c>
      <c r="R31" s="122">
        <v>-1.284700740486181</v>
      </c>
      <c r="S31" s="122"/>
      <c r="T31" s="381">
        <v>82.465999999925302</v>
      </c>
      <c r="U31" s="382">
        <v>87.377999999966974</v>
      </c>
      <c r="V31" s="147"/>
      <c r="Y31" s="117"/>
      <c r="Z31" s="132"/>
      <c r="AA31" s="132"/>
      <c r="AB31" s="117"/>
      <c r="AC31" s="132"/>
      <c r="AE31" s="117"/>
      <c r="AF31" s="132"/>
    </row>
    <row r="32" spans="1:32">
      <c r="A32" t="str">
        <f>name!A30</f>
        <v>Waste management</v>
      </c>
      <c r="B32" s="132">
        <v>32.932999999964288</v>
      </c>
      <c r="C32" s="122">
        <v>0.10647136947263597</v>
      </c>
      <c r="D32" s="144">
        <v>100</v>
      </c>
      <c r="E32" s="132">
        <v>34.895000000015962</v>
      </c>
      <c r="F32" s="122">
        <v>0.10510467772295519</v>
      </c>
      <c r="H32" s="132">
        <v>1.9620000000516737</v>
      </c>
      <c r="I32" s="122">
        <v>5.957550177796743</v>
      </c>
      <c r="K32" s="132">
        <v>2.4157448726713358</v>
      </c>
      <c r="L32" s="122">
        <v>7.3353319547990017</v>
      </c>
      <c r="N32" s="132">
        <v>-3.1009074112286816E-2</v>
      </c>
      <c r="O32" s="122">
        <v>-9.4158060645311514E-2</v>
      </c>
      <c r="Q32" s="132">
        <v>-0.42273579850737519</v>
      </c>
      <c r="R32" s="122">
        <v>-1.2836237163569477</v>
      </c>
      <c r="S32" s="122"/>
      <c r="T32" s="381">
        <v>32.932999999964288</v>
      </c>
      <c r="U32" s="382">
        <v>34.895000000015962</v>
      </c>
      <c r="V32" s="147"/>
      <c r="Y32" s="117"/>
      <c r="Z32" s="132"/>
      <c r="AA32" s="132"/>
      <c r="AB32" s="117"/>
      <c r="AC32" s="132"/>
      <c r="AE32" s="117"/>
      <c r="AF32" s="132"/>
    </row>
    <row r="33" spans="1:32">
      <c r="A33" t="str">
        <f>name!A31</f>
        <v>Construction</v>
      </c>
      <c r="B33" s="132">
        <v>35.430000000000284</v>
      </c>
      <c r="C33" s="122">
        <v>0.11454409317157906</v>
      </c>
      <c r="D33" s="144">
        <v>100</v>
      </c>
      <c r="E33" s="132">
        <v>35.217999999995349</v>
      </c>
      <c r="F33" s="122">
        <v>0.10607756240277558</v>
      </c>
      <c r="H33" s="132">
        <v>-0.2120000000049331</v>
      </c>
      <c r="I33" s="122">
        <v>-0.59836296924903021</v>
      </c>
      <c r="K33" s="132">
        <v>2.598908111585307</v>
      </c>
      <c r="L33" s="122">
        <v>7.3353319547990017</v>
      </c>
      <c r="N33" s="132">
        <v>-0.19209838659309805</v>
      </c>
      <c r="O33" s="122">
        <v>-0.54219132541094139</v>
      </c>
      <c r="Q33" s="132">
        <v>-2.618809724997142</v>
      </c>
      <c r="R33" s="122">
        <v>-7.3915035986370903</v>
      </c>
      <c r="S33" s="122"/>
      <c r="T33" s="381">
        <v>35.430000000000284</v>
      </c>
      <c r="U33" s="382">
        <v>35.217999999995349</v>
      </c>
      <c r="V33" s="147"/>
      <c r="Y33" s="117"/>
      <c r="Z33" s="132"/>
      <c r="AA33" s="132"/>
      <c r="AB33" s="117"/>
      <c r="AC33" s="132"/>
      <c r="AE33" s="117"/>
      <c r="AF33" s="132"/>
    </row>
    <row r="34" spans="1:32">
      <c r="A34" t="str">
        <f>name!A32</f>
        <v>Civil engineering</v>
      </c>
      <c r="B34" s="132">
        <v>145.50300000000124</v>
      </c>
      <c r="C34" s="122">
        <v>0.47040669457364592</v>
      </c>
      <c r="D34" s="144">
        <v>100</v>
      </c>
      <c r="E34" s="132">
        <v>144.62799999998086</v>
      </c>
      <c r="F34" s="122">
        <v>0.43562342254496622</v>
      </c>
      <c r="H34" s="132">
        <v>-0.8750000000203727</v>
      </c>
      <c r="I34" s="122">
        <v>-0.60136217124070657</v>
      </c>
      <c r="K34" s="132">
        <v>10.673128054191281</v>
      </c>
      <c r="L34" s="122">
        <v>7.3353319547990017</v>
      </c>
      <c r="N34" s="132">
        <v>-0.78920287654993049</v>
      </c>
      <c r="O34" s="122">
        <v>-0.54239629186334559</v>
      </c>
      <c r="Q34" s="132">
        <v>-10.758925177661723</v>
      </c>
      <c r="R34" s="122">
        <v>-7.3942978341763625</v>
      </c>
      <c r="S34" s="122"/>
      <c r="T34" s="381">
        <v>145.50300000000124</v>
      </c>
      <c r="U34" s="382">
        <v>144.62799999998086</v>
      </c>
      <c r="V34" s="147"/>
      <c r="Y34" s="117"/>
      <c r="Z34" s="132"/>
      <c r="AA34" s="132"/>
      <c r="AB34" s="117"/>
      <c r="AC34" s="132"/>
      <c r="AE34" s="117"/>
      <c r="AF34" s="132"/>
    </row>
    <row r="35" spans="1:32">
      <c r="A35" t="str">
        <f>name!A33</f>
        <v>Specialised construction</v>
      </c>
      <c r="B35" s="132">
        <v>1697.6410000011963</v>
      </c>
      <c r="C35" s="122">
        <v>5.4884207980815161</v>
      </c>
      <c r="D35" s="144">
        <v>100</v>
      </c>
      <c r="E35" s="132">
        <v>1865.8430000002486</v>
      </c>
      <c r="F35" s="122">
        <v>5.619969256242106</v>
      </c>
      <c r="H35" s="132">
        <v>168.20199999905239</v>
      </c>
      <c r="I35" s="122">
        <v>9.9079840790210572</v>
      </c>
      <c r="K35" s="132">
        <v>124.52760275085707</v>
      </c>
      <c r="L35" s="122">
        <v>7.3353319547990017</v>
      </c>
      <c r="N35" s="132">
        <v>2.9847226994760661</v>
      </c>
      <c r="O35" s="122">
        <v>0.17581589390654223</v>
      </c>
      <c r="Q35" s="132">
        <v>40.689674548719267</v>
      </c>
      <c r="R35" s="122">
        <v>2.3968362303155142</v>
      </c>
      <c r="S35" s="122"/>
      <c r="T35" s="381">
        <v>1697.6410000011963</v>
      </c>
      <c r="U35" s="382">
        <v>1865.8430000002486</v>
      </c>
      <c r="V35" s="147"/>
      <c r="Y35" s="117"/>
      <c r="Z35" s="132"/>
      <c r="AA35" s="132"/>
      <c r="AB35" s="117"/>
      <c r="AC35" s="132"/>
      <c r="AE35" s="117"/>
      <c r="AF35" s="132"/>
    </row>
    <row r="36" spans="1:32">
      <c r="A36" t="str">
        <f>name!A34</f>
        <v>Motor vehicle trade</v>
      </c>
      <c r="B36" s="132">
        <v>569.9599999994731</v>
      </c>
      <c r="C36" s="122">
        <v>1.842663035394082</v>
      </c>
      <c r="D36" s="144">
        <v>100</v>
      </c>
      <c r="E36" s="132">
        <v>641.79699999991612</v>
      </c>
      <c r="F36" s="122">
        <v>1.9331098108187363</v>
      </c>
      <c r="H36" s="132">
        <v>71.837000000443084</v>
      </c>
      <c r="I36" s="122">
        <v>12.603866938120129</v>
      </c>
      <c r="K36" s="132">
        <v>41.808458009533737</v>
      </c>
      <c r="L36" s="122">
        <v>7.3353319547990017</v>
      </c>
      <c r="N36" s="132">
        <v>2.0521604546274403</v>
      </c>
      <c r="O36" s="122">
        <v>0.36005341684141651</v>
      </c>
      <c r="Q36" s="132">
        <v>27.976381536281906</v>
      </c>
      <c r="R36" s="122">
        <v>4.9084815664797121</v>
      </c>
      <c r="S36" s="122"/>
      <c r="T36" s="381">
        <v>569.9599999994731</v>
      </c>
      <c r="U36" s="382">
        <v>641.79699999991612</v>
      </c>
      <c r="V36" s="147"/>
      <c r="Y36" s="117"/>
      <c r="Z36" s="132"/>
      <c r="AA36" s="132"/>
      <c r="AB36" s="117"/>
      <c r="AC36" s="132"/>
      <c r="AE36" s="117"/>
      <c r="AF36" s="132"/>
    </row>
    <row r="37" spans="1:32">
      <c r="A37" t="str">
        <f>name!A35</f>
        <v>Wholesale trade</v>
      </c>
      <c r="B37" s="132">
        <v>1164.0059999989242</v>
      </c>
      <c r="C37" s="122">
        <v>3.7631953631428945</v>
      </c>
      <c r="D37" s="144">
        <v>100</v>
      </c>
      <c r="E37" s="132">
        <v>1232.8599999998389</v>
      </c>
      <c r="F37" s="122">
        <v>3.7134074502778711</v>
      </c>
      <c r="H37" s="132">
        <v>68.854000000914795</v>
      </c>
      <c r="I37" s="122">
        <v>5.9152616052647868</v>
      </c>
      <c r="K37" s="132">
        <v>85.383704073698738</v>
      </c>
      <c r="L37" s="122">
        <v>7.3353319547989999</v>
      </c>
      <c r="N37" s="132">
        <v>-1.1296454231819553</v>
      </c>
      <c r="O37" s="122">
        <v>-9.7048075627015618E-2</v>
      </c>
      <c r="Q37" s="132">
        <v>-15.400058649601988</v>
      </c>
      <c r="R37" s="122">
        <v>-1.3230222739071982</v>
      </c>
      <c r="S37" s="122"/>
      <c r="T37" s="381">
        <v>1164.0059999989242</v>
      </c>
      <c r="U37" s="382">
        <v>1232.8599999998389</v>
      </c>
      <c r="V37" s="147"/>
      <c r="Y37" s="117"/>
      <c r="Z37" s="132"/>
      <c r="AA37" s="132"/>
      <c r="AB37" s="117"/>
      <c r="AC37" s="132"/>
      <c r="AE37" s="117"/>
      <c r="AF37" s="132"/>
    </row>
    <row r="38" spans="1:32">
      <c r="A38" t="str">
        <f>name!A36</f>
        <v>Retail trade</v>
      </c>
      <c r="B38" s="132">
        <v>3028.8189999972019</v>
      </c>
      <c r="C38" s="122">
        <v>9.7920780619679828</v>
      </c>
      <c r="D38" s="144">
        <v>100</v>
      </c>
      <c r="E38" s="132">
        <v>3261.3079999995739</v>
      </c>
      <c r="F38" s="122">
        <v>9.8231473361540029</v>
      </c>
      <c r="H38" s="132">
        <v>232.48900000237208</v>
      </c>
      <c r="I38" s="122">
        <v>7.675896116690593</v>
      </c>
      <c r="K38" s="132">
        <v>222.17392795981831</v>
      </c>
      <c r="L38" s="122">
        <v>7.3353319547990017</v>
      </c>
      <c r="N38" s="132">
        <v>0.70493542239819362</v>
      </c>
      <c r="O38" s="122">
        <v>2.3274267045962298E-2</v>
      </c>
      <c r="Q38" s="132">
        <v>9.610136620155572</v>
      </c>
      <c r="R38" s="122">
        <v>0.31728989484562958</v>
      </c>
      <c r="S38" s="122"/>
      <c r="T38" s="381">
        <v>3028.8189999972019</v>
      </c>
      <c r="U38" s="382">
        <v>3261.3079999995739</v>
      </c>
      <c r="V38" s="147"/>
      <c r="Y38" s="117"/>
      <c r="Z38" s="132"/>
      <c r="AA38" s="132"/>
      <c r="AB38" s="117"/>
      <c r="AC38" s="132"/>
      <c r="AE38" s="117"/>
      <c r="AF38" s="132"/>
    </row>
    <row r="39" spans="1:32">
      <c r="A39" t="str">
        <f>name!A37</f>
        <v>Land transport, etc</v>
      </c>
      <c r="B39" s="132">
        <v>716.96500000073365</v>
      </c>
      <c r="C39" s="122">
        <v>2.3179256494734561</v>
      </c>
      <c r="D39" s="144">
        <v>100</v>
      </c>
      <c r="E39" s="132">
        <v>704.04699999997217</v>
      </c>
      <c r="F39" s="122">
        <v>2.1206084836445522</v>
      </c>
      <c r="H39" s="132">
        <v>-12.918000000761472</v>
      </c>
      <c r="I39" s="122">
        <v>-1.8017615923717691</v>
      </c>
      <c r="K39" s="132">
        <v>52.591762749778475</v>
      </c>
      <c r="L39" s="122">
        <v>7.3353319547990017</v>
      </c>
      <c r="N39" s="132">
        <v>-4.476958773069212</v>
      </c>
      <c r="O39" s="122">
        <v>-0.62443198385759846</v>
      </c>
      <c r="Q39" s="132">
        <v>-61.032803977470735</v>
      </c>
      <c r="R39" s="122">
        <v>-8.5126615633131717</v>
      </c>
      <c r="S39" s="122"/>
      <c r="T39" s="381">
        <v>716.96500000073365</v>
      </c>
      <c r="U39" s="382">
        <v>704.04699999997217</v>
      </c>
      <c r="V39" s="147"/>
      <c r="Y39" s="117"/>
      <c r="Z39" s="132"/>
      <c r="AA39" s="132"/>
      <c r="AB39" s="117"/>
      <c r="AC39" s="132"/>
      <c r="AE39" s="117"/>
      <c r="AF39" s="132"/>
    </row>
    <row r="40" spans="1:32">
      <c r="A40" t="str">
        <f>name!A38</f>
        <v>Water transport</v>
      </c>
      <c r="B40" s="132">
        <v>18.247000000011084</v>
      </c>
      <c r="C40" s="122">
        <v>5.8991986116371888E-2</v>
      </c>
      <c r="D40" s="144">
        <v>100</v>
      </c>
      <c r="E40" s="132">
        <v>17.84799999999214</v>
      </c>
      <c r="F40" s="122">
        <v>5.3758655623946702E-2</v>
      </c>
      <c r="H40" s="132">
        <v>-0.39900000001894298</v>
      </c>
      <c r="I40" s="122">
        <v>-2.1866608210593554</v>
      </c>
      <c r="K40" s="132">
        <v>1.338478021792987</v>
      </c>
      <c r="L40" s="122">
        <v>7.3353319547990026</v>
      </c>
      <c r="N40" s="132">
        <v>-0.11873982054226906</v>
      </c>
      <c r="O40" s="122">
        <v>-0.65073612397762337</v>
      </c>
      <c r="Q40" s="132">
        <v>-1.6187382012696609</v>
      </c>
      <c r="R40" s="122">
        <v>-8.871256651880735</v>
      </c>
      <c r="S40" s="122"/>
      <c r="T40" s="381">
        <v>18.247000000011084</v>
      </c>
      <c r="U40" s="382">
        <v>17.84799999999214</v>
      </c>
      <c r="V40" s="147"/>
      <c r="Y40" s="117"/>
      <c r="Z40" s="132"/>
      <c r="AA40" s="132"/>
      <c r="AB40" s="117"/>
      <c r="AC40" s="132"/>
      <c r="AE40" s="117"/>
      <c r="AF40" s="132"/>
    </row>
    <row r="41" spans="1:32">
      <c r="A41" t="str">
        <f>name!A39</f>
        <v>Air transport</v>
      </c>
      <c r="B41" s="132">
        <v>83.957000000060233</v>
      </c>
      <c r="C41" s="122">
        <v>0.2714303818914221</v>
      </c>
      <c r="D41" s="144">
        <v>100</v>
      </c>
      <c r="E41" s="132">
        <v>115.2650000001187</v>
      </c>
      <c r="F41" s="122">
        <v>0.34718127748225713</v>
      </c>
      <c r="H41" s="132">
        <v>31.30800000005847</v>
      </c>
      <c r="I41" s="122">
        <v>37.290517765089284</v>
      </c>
      <c r="K41" s="132">
        <v>6.1585246492950159</v>
      </c>
      <c r="L41" s="122">
        <v>7.3353319547990017</v>
      </c>
      <c r="N41" s="132">
        <v>1.7187234326956968</v>
      </c>
      <c r="O41" s="122">
        <v>2.0471472690716244</v>
      </c>
      <c r="Q41" s="132">
        <v>23.430751918067756</v>
      </c>
      <c r="R41" s="122">
        <v>27.908038541218655</v>
      </c>
      <c r="S41" s="122"/>
      <c r="T41" s="381">
        <v>83.957000000060233</v>
      </c>
      <c r="U41" s="382">
        <v>115.2650000001187</v>
      </c>
      <c r="V41" s="147"/>
      <c r="Y41" s="117"/>
      <c r="Z41" s="132"/>
      <c r="AA41" s="132"/>
      <c r="AB41" s="117"/>
      <c r="AC41" s="132"/>
      <c r="AE41" s="117"/>
      <c r="AF41" s="132"/>
    </row>
    <row r="42" spans="1:32">
      <c r="A42" t="str">
        <f>name!A40</f>
        <v>Warehousing, etc</v>
      </c>
      <c r="B42" s="132">
        <v>340.75900000006266</v>
      </c>
      <c r="C42" s="122">
        <v>1.1016632979130954</v>
      </c>
      <c r="D42" s="144">
        <v>100</v>
      </c>
      <c r="E42" s="132">
        <v>336.28300000019055</v>
      </c>
      <c r="F42" s="122">
        <v>1.0128934328331394</v>
      </c>
      <c r="H42" s="132">
        <v>-4.4759999998720597</v>
      </c>
      <c r="I42" s="122">
        <v>-1.3135383070942328</v>
      </c>
      <c r="K42" s="132">
        <v>24.995803815858125</v>
      </c>
      <c r="L42" s="122">
        <v>7.3353319547990017</v>
      </c>
      <c r="N42" s="132">
        <v>-2.01411278427996</v>
      </c>
      <c r="O42" s="122">
        <v>-0.59106664366299633</v>
      </c>
      <c r="Q42" s="132">
        <v>-27.457691031450224</v>
      </c>
      <c r="R42" s="122">
        <v>-8.0578036182302366</v>
      </c>
      <c r="S42" s="122"/>
      <c r="T42" s="381">
        <v>340.75900000006266</v>
      </c>
      <c r="U42" s="382">
        <v>336.28300000019055</v>
      </c>
      <c r="V42" s="147"/>
      <c r="Y42" s="117"/>
      <c r="Z42" s="132"/>
      <c r="AA42" s="132"/>
      <c r="AB42" s="117"/>
      <c r="AC42" s="132"/>
      <c r="AE42" s="117"/>
      <c r="AF42" s="132"/>
    </row>
    <row r="43" spans="1:32">
      <c r="A43" t="str">
        <f>name!A41</f>
        <v>Postal and courier</v>
      </c>
      <c r="B43" s="132">
        <v>325.27900000005985</v>
      </c>
      <c r="C43" s="122">
        <v>1.0516169371370201</v>
      </c>
      <c r="D43" s="144">
        <v>100</v>
      </c>
      <c r="E43" s="132">
        <v>535.52800000030322</v>
      </c>
      <c r="F43" s="122">
        <v>1.6130247270848221</v>
      </c>
      <c r="H43" s="132">
        <v>210.24900000024343</v>
      </c>
      <c r="I43" s="122">
        <v>64.63651204049593</v>
      </c>
      <c r="K43" s="132">
        <v>23.860294429255035</v>
      </c>
      <c r="L43" s="122">
        <v>7.3353319547990017</v>
      </c>
      <c r="N43" s="132">
        <v>12.737865557301006</v>
      </c>
      <c r="O43" s="122">
        <v>3.9159815288717268</v>
      </c>
      <c r="Q43" s="132">
        <v>173.6508400136874</v>
      </c>
      <c r="R43" s="122">
        <v>53.385198556825195</v>
      </c>
      <c r="S43" s="122"/>
      <c r="T43" s="381">
        <v>325.27900000005985</v>
      </c>
      <c r="U43" s="382">
        <v>535.52800000030322</v>
      </c>
      <c r="V43" s="147"/>
      <c r="Y43" s="117"/>
      <c r="Z43" s="132"/>
      <c r="AA43" s="132"/>
      <c r="AB43" s="117"/>
      <c r="AC43" s="132"/>
      <c r="AE43" s="117"/>
      <c r="AF43" s="132"/>
    </row>
    <row r="44" spans="1:32">
      <c r="A44" t="str">
        <f>name!A42</f>
        <v>Accommodation</v>
      </c>
      <c r="B44" s="132">
        <v>2144.1589999988464</v>
      </c>
      <c r="C44" s="122">
        <v>6.9319996689400423</v>
      </c>
      <c r="D44" s="144">
        <v>100</v>
      </c>
      <c r="E44" s="132">
        <v>2258.3650000006869</v>
      </c>
      <c r="F44" s="122">
        <v>6.8022560683698323</v>
      </c>
      <c r="H44" s="132">
        <v>114.20600000184029</v>
      </c>
      <c r="I44" s="122">
        <v>5.3263773816168358</v>
      </c>
      <c r="K44" s="132">
        <v>157.28118028861411</v>
      </c>
      <c r="L44" s="122">
        <v>7.3353319547990017</v>
      </c>
      <c r="N44" s="132">
        <v>-2.9437720148788173</v>
      </c>
      <c r="O44" s="122">
        <v>-0.13729261751952168</v>
      </c>
      <c r="Q44" s="132">
        <v>-40.131408271894998</v>
      </c>
      <c r="R44" s="122">
        <v>-1.8716619556626439</v>
      </c>
      <c r="S44" s="122"/>
      <c r="T44" s="381">
        <v>2144.1589999988464</v>
      </c>
      <c r="U44" s="382">
        <v>2258.3650000006869</v>
      </c>
      <c r="V44" s="147"/>
      <c r="Y44" s="117"/>
      <c r="Z44" s="132"/>
      <c r="AA44" s="132"/>
      <c r="AB44" s="117"/>
      <c r="AC44" s="132"/>
      <c r="AE44" s="117"/>
      <c r="AF44" s="132"/>
    </row>
    <row r="45" spans="1:32">
      <c r="A45" t="str">
        <f>name!A43</f>
        <v>Food and beverage services</v>
      </c>
      <c r="B45" s="132">
        <v>197.47100000001379</v>
      </c>
      <c r="C45" s="122">
        <v>0.63841762976817074</v>
      </c>
      <c r="D45" s="144">
        <v>100</v>
      </c>
      <c r="E45" s="132">
        <v>286.78200000015835</v>
      </c>
      <c r="F45" s="122">
        <v>0.86379509060746196</v>
      </c>
      <c r="H45" s="132">
        <v>89.311000000144531</v>
      </c>
      <c r="I45" s="122">
        <v>45.227400479127716</v>
      </c>
      <c r="K45" s="132">
        <v>14.485153364462148</v>
      </c>
      <c r="L45" s="122">
        <v>7.3353319547990017</v>
      </c>
      <c r="N45" s="132">
        <v>5.1136230156045031</v>
      </c>
      <c r="O45" s="122">
        <v>2.5895564491009546</v>
      </c>
      <c r="Q45" s="132">
        <v>69.712223620077879</v>
      </c>
      <c r="R45" s="122">
        <v>35.30251207522776</v>
      </c>
      <c r="S45" s="122"/>
      <c r="T45" s="381">
        <v>197.47100000001379</v>
      </c>
      <c r="U45" s="382">
        <v>286.78200000015835</v>
      </c>
      <c r="V45" s="147"/>
      <c r="Y45" s="117"/>
      <c r="Z45" s="132"/>
      <c r="AA45" s="132"/>
      <c r="AB45" s="117"/>
      <c r="AC45" s="132"/>
      <c r="AE45" s="117"/>
      <c r="AF45" s="132"/>
    </row>
    <row r="46" spans="1:32">
      <c r="A46" t="str">
        <f>name!A44</f>
        <v>Publishing activities</v>
      </c>
      <c r="B46" s="132">
        <v>187.13600000001301</v>
      </c>
      <c r="C46" s="122">
        <v>0.60500489471515484</v>
      </c>
      <c r="D46" s="144">
        <v>100</v>
      </c>
      <c r="E46" s="132">
        <v>179.50800000009909</v>
      </c>
      <c r="F46" s="122">
        <v>0.54068291986513894</v>
      </c>
      <c r="H46" s="132">
        <v>-7.6279999999139108</v>
      </c>
      <c r="I46" s="122">
        <v>-4.076179890514589</v>
      </c>
      <c r="K46" s="132">
        <v>13.727046806933613</v>
      </c>
      <c r="L46" s="122">
        <v>7.3353319547990017</v>
      </c>
      <c r="N46" s="132">
        <v>-1.4594109356690108</v>
      </c>
      <c r="O46" s="122">
        <v>-0.77986647981623491</v>
      </c>
      <c r="Q46" s="132">
        <v>-19.895635871178513</v>
      </c>
      <c r="R46" s="122">
        <v>-10.631645365497354</v>
      </c>
      <c r="S46" s="122"/>
      <c r="T46" s="381">
        <v>187.13600000001301</v>
      </c>
      <c r="U46" s="381">
        <v>179.50800000009909</v>
      </c>
      <c r="V46" s="147"/>
      <c r="Y46" s="117"/>
      <c r="Z46" s="132"/>
      <c r="AA46" s="132"/>
      <c r="AB46" s="117"/>
      <c r="AC46" s="132"/>
      <c r="AE46" s="117"/>
      <c r="AF46" s="132"/>
    </row>
    <row r="47" spans="1:32">
      <c r="A47" t="str">
        <f>name!A45</f>
        <v>Film and music</v>
      </c>
      <c r="B47" s="132">
        <v>199.87700000026544</v>
      </c>
      <c r="C47" s="122">
        <v>0.64619615328495417</v>
      </c>
      <c r="D47" s="144">
        <v>100</v>
      </c>
      <c r="E47" s="132">
        <v>198.79299999997147</v>
      </c>
      <c r="F47" s="122">
        <v>0.59876985810479655</v>
      </c>
      <c r="H47" s="132">
        <v>-1.0840000002939487</v>
      </c>
      <c r="I47" s="122">
        <v>-0.54233353527044592</v>
      </c>
      <c r="K47" s="132">
        <v>14.66164145131307</v>
      </c>
      <c r="L47" s="122">
        <v>7.3353319547990017</v>
      </c>
      <c r="N47" s="132">
        <v>-1.0760623252874428</v>
      </c>
      <c r="O47" s="122">
        <v>-0.53836225543009641</v>
      </c>
      <c r="Q47" s="132">
        <v>-14.669579126319576</v>
      </c>
      <c r="R47" s="122">
        <v>-7.3393032346393507</v>
      </c>
      <c r="S47" s="122"/>
      <c r="T47" s="381">
        <v>199.87700000026544</v>
      </c>
      <c r="U47" s="381">
        <v>198.79299999997147</v>
      </c>
      <c r="V47" s="147"/>
      <c r="Y47" s="117"/>
      <c r="Z47" s="117"/>
      <c r="AA47" s="117"/>
      <c r="AB47" s="117"/>
      <c r="AC47" s="117"/>
      <c r="AE47" s="117"/>
      <c r="AF47" s="132"/>
    </row>
    <row r="48" spans="1:32">
      <c r="A48" t="str">
        <f>name!A46</f>
        <v>Broadcasting</v>
      </c>
      <c r="B48" s="132">
        <v>438.62000000015314</v>
      </c>
      <c r="C48" s="122">
        <v>1.4180448813698885</v>
      </c>
      <c r="D48" s="144">
        <v>100</v>
      </c>
      <c r="E48" s="132">
        <v>414.383999999926</v>
      </c>
      <c r="F48" s="122">
        <v>1.2481357436171761</v>
      </c>
      <c r="H48" s="132">
        <v>-24.236000000227126</v>
      </c>
      <c r="I48" s="122">
        <v>-5.525511832615627</v>
      </c>
      <c r="K48" s="132">
        <v>32.174233020150616</v>
      </c>
      <c r="L48" s="122">
        <v>7.3353319547990017</v>
      </c>
      <c r="N48" s="132">
        <v>-3.8550939128439801</v>
      </c>
      <c r="O48" s="122">
        <v>-0.87891430232151613</v>
      </c>
      <c r="Q48" s="132">
        <v>-52.555139107533762</v>
      </c>
      <c r="R48" s="122">
        <v>-11.981929485093113</v>
      </c>
      <c r="S48" s="122"/>
      <c r="T48" s="381">
        <v>438.62000000015314</v>
      </c>
      <c r="U48" s="381">
        <v>414.383999999926</v>
      </c>
      <c r="Y48" s="117"/>
      <c r="Z48" s="117"/>
      <c r="AA48" s="117"/>
      <c r="AB48" s="117"/>
      <c r="AC48" s="117"/>
      <c r="AE48" s="117"/>
    </row>
    <row r="49" spans="1:21">
      <c r="A49" t="str">
        <f>name!A47</f>
        <v>Telecommunications</v>
      </c>
      <c r="B49" s="132">
        <v>613.98799999968332</v>
      </c>
      <c r="C49" s="122">
        <v>1.9850041963927363</v>
      </c>
      <c r="D49" s="144">
        <v>100</v>
      </c>
      <c r="E49" s="132">
        <v>538.85800000020777</v>
      </c>
      <c r="F49" s="122">
        <v>1.6230547765706296</v>
      </c>
      <c r="H49" s="132">
        <v>-75.129999999475544</v>
      </c>
      <c r="I49" s="122">
        <v>-12.236395499507205</v>
      </c>
      <c r="K49" s="132">
        <v>45.038057962608065</v>
      </c>
      <c r="L49" s="122">
        <v>7.3353319547990017</v>
      </c>
      <c r="N49" s="132">
        <v>-8.2123246787610498</v>
      </c>
      <c r="O49" s="122">
        <v>-1.3375383034791049</v>
      </c>
      <c r="Q49" s="132">
        <v>-111.95573328332256</v>
      </c>
      <c r="R49" s="122">
        <v>-18.234189150827103</v>
      </c>
      <c r="S49" s="122"/>
      <c r="T49" s="381">
        <v>613.98799999968332</v>
      </c>
      <c r="U49" s="381">
        <v>538.85800000020777</v>
      </c>
    </row>
    <row r="50" spans="1:21">
      <c r="A50" t="str">
        <f>name!A48</f>
        <v>Computing services</v>
      </c>
      <c r="B50" s="132">
        <v>132.72299999993143</v>
      </c>
      <c r="C50" s="122">
        <v>0.42908935021178413</v>
      </c>
      <c r="D50" s="144">
        <v>100</v>
      </c>
      <c r="E50" s="132">
        <v>135.03200000005205</v>
      </c>
      <c r="F50" s="122">
        <v>0.40672001267474028</v>
      </c>
      <c r="H50" s="132">
        <v>2.3090000001206064</v>
      </c>
      <c r="I50" s="122">
        <v>1.7397135388152762</v>
      </c>
      <c r="K50" s="132">
        <v>9.7356726303628491</v>
      </c>
      <c r="L50" s="122">
        <v>7.3353319547990017</v>
      </c>
      <c r="N50" s="132">
        <v>-0.50754125477889156</v>
      </c>
      <c r="O50" s="122">
        <v>-0.38240640640970575</v>
      </c>
      <c r="Q50" s="132">
        <v>-6.9191313754633512</v>
      </c>
      <c r="R50" s="122">
        <v>-5.2132120095740202</v>
      </c>
      <c r="S50" s="122"/>
      <c r="T50" s="381">
        <v>132.72299999993143</v>
      </c>
      <c r="U50" s="381">
        <v>135.03200000005205</v>
      </c>
    </row>
    <row r="51" spans="1:21">
      <c r="A51" t="str">
        <f>name!A49</f>
        <v>Information services</v>
      </c>
      <c r="B51" s="132">
        <v>312.76299999983866</v>
      </c>
      <c r="C51" s="122">
        <v>1.0111530966018576</v>
      </c>
      <c r="D51" s="144">
        <v>100</v>
      </c>
      <c r="E51" s="132">
        <v>502.44200000019339</v>
      </c>
      <c r="F51" s="122">
        <v>1.5133688059743005</v>
      </c>
      <c r="H51" s="132">
        <v>189.6790000003547</v>
      </c>
      <c r="I51" s="122">
        <v>60.646240124456078</v>
      </c>
      <c r="K51" s="132">
        <v>22.942204281776167</v>
      </c>
      <c r="L51" s="122">
        <v>7.3353319547990017</v>
      </c>
      <c r="N51" s="132">
        <v>11.394847562313828</v>
      </c>
      <c r="O51" s="122">
        <v>3.6432850312599978</v>
      </c>
      <c r="Q51" s="132">
        <v>155.34194815626472</v>
      </c>
      <c r="R51" s="122">
        <v>49.667623138397076</v>
      </c>
      <c r="S51" s="122"/>
      <c r="T51" s="381">
        <v>312.76299999983866</v>
      </c>
      <c r="U51" s="381">
        <v>502.44200000019339</v>
      </c>
    </row>
    <row r="52" spans="1:21">
      <c r="A52" t="str">
        <f>name!A50</f>
        <v>Financial services</v>
      </c>
      <c r="B52" s="132">
        <v>548.61799999979723</v>
      </c>
      <c r="C52" s="122">
        <v>1.7736650100926228</v>
      </c>
      <c r="D52" s="144">
        <v>100</v>
      </c>
      <c r="E52" s="132">
        <v>580.38300000007268</v>
      </c>
      <c r="F52" s="122">
        <v>1.7481291924591382</v>
      </c>
      <c r="H52" s="132">
        <v>31.765000000275439</v>
      </c>
      <c r="I52" s="122">
        <v>5.7900032445685667</v>
      </c>
      <c r="K52" s="132">
        <v>40.242951463764314</v>
      </c>
      <c r="L52" s="122">
        <v>7.3353319547990017</v>
      </c>
      <c r="N52" s="132">
        <v>-0.57938599665903823</v>
      </c>
      <c r="O52" s="122">
        <v>-0.10560827327197655</v>
      </c>
      <c r="Q52" s="132">
        <v>-7.8985654668298366</v>
      </c>
      <c r="R52" s="122">
        <v>-1.4397204369584586</v>
      </c>
      <c r="S52" s="122"/>
      <c r="T52" s="381">
        <v>548.61799999979723</v>
      </c>
      <c r="U52" s="381">
        <v>580.38300000007268</v>
      </c>
    </row>
    <row r="53" spans="1:21">
      <c r="A53" t="str">
        <f>name!A51</f>
        <v>Insurance and pensions</v>
      </c>
      <c r="B53" s="132">
        <v>1501.1650000006377</v>
      </c>
      <c r="C53" s="122">
        <v>4.8532199725087537</v>
      </c>
      <c r="D53" s="144">
        <v>100</v>
      </c>
      <c r="E53" s="132">
        <v>1898.5639999980804</v>
      </c>
      <c r="F53" s="122">
        <v>5.7185257875372297</v>
      </c>
      <c r="H53" s="132">
        <v>397.39899999744262</v>
      </c>
      <c r="I53" s="122">
        <v>26.472706198004467</v>
      </c>
      <c r="K53" s="132">
        <v>110.11543593930521</v>
      </c>
      <c r="L53" s="122">
        <v>7.3353319547990017</v>
      </c>
      <c r="N53" s="132">
        <v>19.633053433064049</v>
      </c>
      <c r="O53" s="122">
        <v>1.3078544619049677</v>
      </c>
      <c r="Q53" s="132">
        <v>267.65051062507337</v>
      </c>
      <c r="R53" s="122">
        <v>17.829519781300501</v>
      </c>
      <c r="S53" s="122"/>
      <c r="T53" s="381">
        <v>1501.1650000006377</v>
      </c>
      <c r="U53" s="381">
        <v>1898.5639999980804</v>
      </c>
    </row>
    <row r="54" spans="1:21">
      <c r="A54" t="str">
        <f>name!A52</f>
        <v>Auxiliary financial services</v>
      </c>
      <c r="B54" s="132">
        <v>471.13500000027409</v>
      </c>
      <c r="C54" s="122">
        <v>1.5231648697833153</v>
      </c>
      <c r="D54" s="144">
        <v>100</v>
      </c>
      <c r="E54" s="132">
        <v>502.06400000003481</v>
      </c>
      <c r="F54" s="122">
        <v>1.5122302598159418</v>
      </c>
      <c r="H54" s="132">
        <v>30.928999999760709</v>
      </c>
      <c r="I54" s="122">
        <v>6.5647850403265977</v>
      </c>
      <c r="K54" s="132">
        <v>34.559316205262384</v>
      </c>
      <c r="L54" s="122">
        <v>7.3353319547990017</v>
      </c>
      <c r="N54" s="132">
        <v>-0.24809700574137494</v>
      </c>
      <c r="O54" s="122">
        <v>-5.2659430044728284E-2</v>
      </c>
      <c r="Q54" s="132">
        <v>-3.3822191997602999</v>
      </c>
      <c r="R54" s="122">
        <v>-0.71788748442767625</v>
      </c>
      <c r="S54" s="122"/>
      <c r="T54" s="381">
        <v>471.13500000027409</v>
      </c>
      <c r="U54" s="381">
        <v>502.06400000003481</v>
      </c>
    </row>
    <row r="55" spans="1:21">
      <c r="A55" t="str">
        <f>name!A53</f>
        <v>Real estate</v>
      </c>
      <c r="B55" s="132">
        <v>106.49900000005229</v>
      </c>
      <c r="C55" s="122">
        <v>0.34430797004476121</v>
      </c>
      <c r="D55" s="144">
        <v>100</v>
      </c>
      <c r="E55" s="132">
        <v>125.1209999999075</v>
      </c>
      <c r="F55" s="122">
        <v>0.37686781433896366</v>
      </c>
      <c r="H55" s="132">
        <v>18.621999999855209</v>
      </c>
      <c r="I55" s="122">
        <v>17.485610193378402</v>
      </c>
      <c r="K55" s="132">
        <v>7.8120551785452239</v>
      </c>
      <c r="L55" s="122">
        <v>7.3353319547990017</v>
      </c>
      <c r="N55" s="132">
        <v>0.73875519116819888</v>
      </c>
      <c r="O55" s="122">
        <v>0.6936733595318606</v>
      </c>
      <c r="Q55" s="132">
        <v>10.071189630141788</v>
      </c>
      <c r="R55" s="122">
        <v>9.4566048790475428</v>
      </c>
      <c r="S55" s="122"/>
      <c r="T55" s="381">
        <v>106.49900000005229</v>
      </c>
      <c r="U55" s="381">
        <v>125.1209999999075</v>
      </c>
    </row>
    <row r="56" spans="1:21">
      <c r="A56" t="str">
        <f>name!A54</f>
        <v>Legal and accounting</v>
      </c>
      <c r="B56" s="132">
        <v>216.71200000001988</v>
      </c>
      <c r="C56" s="122">
        <v>0.7006231871126537</v>
      </c>
      <c r="D56" s="144">
        <v>100</v>
      </c>
      <c r="E56" s="132">
        <v>307.62700000008448</v>
      </c>
      <c r="F56" s="122">
        <v>0.92658079076869526</v>
      </c>
      <c r="H56" s="132">
        <v>90.91500000006458</v>
      </c>
      <c r="I56" s="122">
        <v>41.951991583325444</v>
      </c>
      <c r="K56" s="132">
        <v>15.89654458588547</v>
      </c>
      <c r="L56" s="122">
        <v>7.3353319547990017</v>
      </c>
      <c r="N56" s="132">
        <v>5.1267859629951857</v>
      </c>
      <c r="O56" s="122">
        <v>2.3657139258530746</v>
      </c>
      <c r="Q56" s="132">
        <v>69.89166945118393</v>
      </c>
      <c r="R56" s="122">
        <v>32.25094570267337</v>
      </c>
      <c r="S56" s="122"/>
      <c r="T56" s="381">
        <v>216.71200000001988</v>
      </c>
      <c r="U56" s="381">
        <v>307.62700000008448</v>
      </c>
    </row>
    <row r="57" spans="1:21" ht="12.75" customHeight="1">
      <c r="A57" t="str">
        <f>name!A55</f>
        <v>Head offices, etc</v>
      </c>
      <c r="B57" s="132">
        <v>488.51200000004457</v>
      </c>
      <c r="C57" s="122">
        <v>1.5793441728320374</v>
      </c>
      <c r="D57" s="144">
        <v>100</v>
      </c>
      <c r="E57" s="132">
        <v>554.93600000015249</v>
      </c>
      <c r="F57" s="122">
        <v>1.6714821446297523</v>
      </c>
      <c r="H57" s="132">
        <v>66.424000000107924</v>
      </c>
      <c r="I57" s="122">
        <v>13.597209485151206</v>
      </c>
      <c r="K57" s="132">
        <v>35.833976839030967</v>
      </c>
      <c r="L57" s="122">
        <v>7.3353319547990017</v>
      </c>
      <c r="N57" s="132">
        <v>2.0905322628152163</v>
      </c>
      <c r="O57" s="122">
        <v>0.42793877383053552</v>
      </c>
      <c r="Q57" s="132">
        <v>28.49949089826174</v>
      </c>
      <c r="R57" s="122">
        <v>5.83393875652167</v>
      </c>
      <c r="S57" s="122"/>
      <c r="T57" s="381">
        <v>488.51200000004457</v>
      </c>
      <c r="U57" s="381">
        <v>554.93600000015249</v>
      </c>
    </row>
    <row r="58" spans="1:21">
      <c r="A58" t="str">
        <f>name!A56</f>
        <v>Architectural and related</v>
      </c>
      <c r="B58" s="132">
        <v>154.33900000012474</v>
      </c>
      <c r="C58" s="122">
        <v>0.49897320903252856</v>
      </c>
      <c r="D58" s="144">
        <v>100</v>
      </c>
      <c r="E58" s="132">
        <v>141.48199999997618</v>
      </c>
      <c r="F58" s="122">
        <v>0.42614758600343433</v>
      </c>
      <c r="H58" s="132">
        <v>-12.857000000148545</v>
      </c>
      <c r="I58" s="122">
        <v>-8.3303636800407901</v>
      </c>
      <c r="K58" s="132">
        <v>11.321277985726381</v>
      </c>
      <c r="L58" s="122">
        <v>7.3353319547990017</v>
      </c>
      <c r="N58" s="132">
        <v>-1.6523514847514473</v>
      </c>
      <c r="O58" s="122">
        <v>-1.0705988018259234</v>
      </c>
      <c r="Q58" s="132">
        <v>-22.525926501123479</v>
      </c>
      <c r="R58" s="122">
        <v>-14.595096833013868</v>
      </c>
      <c r="S58" s="122"/>
      <c r="T58" s="381">
        <v>154.33900000012474</v>
      </c>
      <c r="U58" s="381">
        <v>141.48199999997618</v>
      </c>
    </row>
    <row r="59" spans="1:21">
      <c r="A59" t="str">
        <f>name!A57</f>
        <v>Scientific research and development</v>
      </c>
      <c r="B59" s="132">
        <v>945.30400000076372</v>
      </c>
      <c r="C59" s="122">
        <v>3.0561385676419133</v>
      </c>
      <c r="D59" s="144">
        <v>100</v>
      </c>
      <c r="E59" s="132">
        <v>1147.9249999998067</v>
      </c>
      <c r="F59" s="122">
        <v>3.4575809478449013</v>
      </c>
      <c r="H59" s="132">
        <v>202.62099999904308</v>
      </c>
      <c r="I59" s="122">
        <v>21.434480336365802</v>
      </c>
      <c r="K59" s="132">
        <v>69.341186382049173</v>
      </c>
      <c r="L59" s="122">
        <v>7.3353319547990017</v>
      </c>
      <c r="N59" s="132">
        <v>9.1083863807875787</v>
      </c>
      <c r="O59" s="122">
        <v>0.96354044633051583</v>
      </c>
      <c r="Q59" s="132">
        <v>124.17142723620634</v>
      </c>
      <c r="R59" s="122">
        <v>13.135607935236285</v>
      </c>
      <c r="S59" s="122"/>
      <c r="T59" s="381">
        <v>945.30400000076372</v>
      </c>
      <c r="U59" s="381">
        <v>1147.9249999998067</v>
      </c>
    </row>
    <row r="60" spans="1:21">
      <c r="A60" t="str">
        <f>name!A58</f>
        <v>Advertising, etc</v>
      </c>
      <c r="B60" s="132">
        <v>116.95000000009452</v>
      </c>
      <c r="C60" s="122">
        <v>0.37809572950682724</v>
      </c>
      <c r="D60" s="144">
        <v>100</v>
      </c>
      <c r="E60" s="132">
        <v>118.9089999999799</v>
      </c>
      <c r="F60" s="122">
        <v>0.35815710340596213</v>
      </c>
      <c r="H60" s="132">
        <v>1.9589999998853891</v>
      </c>
      <c r="I60" s="122">
        <v>1.6750748181990645</v>
      </c>
      <c r="K60" s="132">
        <v>8.5786707211443645</v>
      </c>
      <c r="L60" s="122">
        <v>7.3353319547989999</v>
      </c>
      <c r="N60" s="132">
        <v>-0.45239047839668522</v>
      </c>
      <c r="O60" s="122">
        <v>-0.38682383787628871</v>
      </c>
      <c r="Q60" s="132">
        <v>-6.1672802428622902</v>
      </c>
      <c r="R60" s="122">
        <v>-5.2734332987236474</v>
      </c>
      <c r="S60" s="122"/>
      <c r="T60" s="381">
        <v>116.95000000009452</v>
      </c>
      <c r="U60" s="381">
        <v>118.9089999999799</v>
      </c>
    </row>
    <row r="61" spans="1:21" ht="12.75" customHeight="1">
      <c r="A61" t="str">
        <f>name!A59</f>
        <v>Other professional</v>
      </c>
      <c r="B61" s="132">
        <v>1329.574000001074</v>
      </c>
      <c r="C61" s="122">
        <v>4.2984715815588732</v>
      </c>
      <c r="D61" s="144">
        <v>100</v>
      </c>
      <c r="E61" s="132">
        <v>1355.4139999997719</v>
      </c>
      <c r="F61" s="122">
        <v>4.0825433916346876</v>
      </c>
      <c r="H61" s="132">
        <v>25.839999998697778</v>
      </c>
      <c r="I61" s="122">
        <v>1.9434796407478565</v>
      </c>
      <c r="K61" s="132">
        <v>97.528666484778057</v>
      </c>
      <c r="L61" s="122">
        <v>7.3353319547990017</v>
      </c>
      <c r="N61" s="132">
        <v>-4.899227090420851</v>
      </c>
      <c r="O61" s="122">
        <v>-0.36848096385886708</v>
      </c>
      <c r="Q61" s="132">
        <v>-66.789439395659429</v>
      </c>
      <c r="R61" s="122">
        <v>-5.0233713501922779</v>
      </c>
      <c r="S61" s="122"/>
      <c r="T61" s="381">
        <v>1329.574000001074</v>
      </c>
      <c r="U61" s="381">
        <v>1355.4139999997719</v>
      </c>
    </row>
    <row r="62" spans="1:21" ht="12.75" customHeight="1">
      <c r="A62" t="str">
        <f>name!A60</f>
        <v>Veterinary</v>
      </c>
      <c r="B62" s="132">
        <v>1373.6089999998901</v>
      </c>
      <c r="C62" s="122">
        <v>4.4408353733363164</v>
      </c>
      <c r="D62" s="144">
        <v>100</v>
      </c>
      <c r="E62" s="132">
        <v>1410.480000000412</v>
      </c>
      <c r="F62" s="122">
        <v>4.2484036634087783</v>
      </c>
      <c r="H62" s="132">
        <v>36.87100000052201</v>
      </c>
      <c r="I62" s="122">
        <v>2.6842427503405233</v>
      </c>
      <c r="K62" s="132">
        <v>100.75877991098696</v>
      </c>
      <c r="L62" s="122">
        <v>7.3353319547990017</v>
      </c>
      <c r="N62" s="132">
        <v>-4.366111931304566</v>
      </c>
      <c r="O62" s="122">
        <v>-0.31785696885393994</v>
      </c>
      <c r="Q62" s="132">
        <v>-59.521667979160384</v>
      </c>
      <c r="R62" s="122">
        <v>-4.3332322356045383</v>
      </c>
      <c r="S62" s="122"/>
      <c r="T62" s="381">
        <v>1373.6089999998901</v>
      </c>
      <c r="U62" s="381">
        <v>1410.480000000412</v>
      </c>
    </row>
    <row r="63" spans="1:21">
      <c r="A63" t="str">
        <f>name!A61</f>
        <v>Rental and leasing</v>
      </c>
      <c r="B63" s="132">
        <v>2644.983000000736</v>
      </c>
      <c r="C63" s="122">
        <v>8.5511481566278444</v>
      </c>
      <c r="D63" s="144">
        <v>100</v>
      </c>
      <c r="E63" s="132">
        <v>2641.450000001309</v>
      </c>
      <c r="F63" s="122">
        <v>7.9561183829004314</v>
      </c>
      <c r="H63" s="132">
        <v>-3.5329999994267709</v>
      </c>
      <c r="I63" s="122">
        <v>-0.13357363731357774</v>
      </c>
      <c r="K63" s="132">
        <v>194.01828319805523</v>
      </c>
      <c r="L63" s="122">
        <v>7.3353319547989999</v>
      </c>
      <c r="N63" s="132">
        <v>-13.500719790574287</v>
      </c>
      <c r="O63" s="122">
        <v>-0.51042746930965266</v>
      </c>
      <c r="Q63" s="132">
        <v>-184.05056340690771</v>
      </c>
      <c r="R63" s="122">
        <v>-6.9584781228029264</v>
      </c>
      <c r="S63" s="122"/>
      <c r="T63" s="381">
        <v>2644.983000000736</v>
      </c>
      <c r="U63" s="381">
        <v>2641.450000001309</v>
      </c>
    </row>
    <row r="64" spans="1:21">
      <c r="A64" t="str">
        <f>name!A62</f>
        <v>Employment activities</v>
      </c>
      <c r="B64" s="132">
        <v>2374.4340000002467</v>
      </c>
      <c r="C64" s="122">
        <v>7.6764716151789791</v>
      </c>
      <c r="D64" s="144">
        <v>100</v>
      </c>
      <c r="E64" s="132">
        <v>2612.1830000006412</v>
      </c>
      <c r="F64" s="122">
        <v>7.8679653924150754</v>
      </c>
      <c r="H64" s="132">
        <v>237.7490000003944</v>
      </c>
      <c r="I64" s="122">
        <v>10.012870435664656</v>
      </c>
      <c r="K64" s="132">
        <v>174.17261594763022</v>
      </c>
      <c r="L64" s="122">
        <v>7.3353319547990017</v>
      </c>
      <c r="N64" s="132">
        <v>4.3448310357788387</v>
      </c>
      <c r="O64" s="122">
        <v>0.18298386208159026</v>
      </c>
      <c r="Q64" s="132">
        <v>59.231553016985345</v>
      </c>
      <c r="R64" s="122">
        <v>2.4945546187840635</v>
      </c>
      <c r="S64" s="122"/>
      <c r="T64" s="381">
        <v>2374.4340000002467</v>
      </c>
      <c r="U64" s="381">
        <v>2612.1830000006412</v>
      </c>
    </row>
    <row r="65" spans="1:21">
      <c r="A65" t="str">
        <f>name!A63</f>
        <v>Travel, etc</v>
      </c>
      <c r="B65" s="132">
        <v>1674.2150000001743</v>
      </c>
      <c r="C65" s="122">
        <v>5.4126852652913824</v>
      </c>
      <c r="D65" s="144">
        <v>100</v>
      </c>
      <c r="E65" s="132">
        <v>1674.3130000004107</v>
      </c>
      <c r="F65" s="122">
        <v>5.0430757493141405</v>
      </c>
      <c r="H65" s="132">
        <v>9.8000000236323159E-2</v>
      </c>
      <c r="I65" s="122">
        <v>5.8534895599617097E-3</v>
      </c>
      <c r="K65" s="132">
        <v>122.80922788705089</v>
      </c>
      <c r="L65" s="122">
        <v>7.3353319547990017</v>
      </c>
      <c r="N65" s="132">
        <v>-8.3861257494394739</v>
      </c>
      <c r="O65" s="122">
        <v>-0.50089897351526547</v>
      </c>
      <c r="Q65" s="132">
        <v>-114.3251021373751</v>
      </c>
      <c r="R65" s="122">
        <v>-6.8285794917237741</v>
      </c>
      <c r="S65" s="122"/>
      <c r="T65" s="381">
        <v>1674.2150000001743</v>
      </c>
      <c r="U65" s="381">
        <v>1674.3130000004107</v>
      </c>
    </row>
    <row r="66" spans="1:21">
      <c r="A66" t="str">
        <f>name!A64</f>
        <v>Security, etc</v>
      </c>
      <c r="B66" s="132">
        <v>413.60599999980559</v>
      </c>
      <c r="C66" s="122">
        <v>1.3371753937426327</v>
      </c>
      <c r="D66" s="144">
        <v>100</v>
      </c>
      <c r="E66" s="132">
        <v>428.36800000013642</v>
      </c>
      <c r="F66" s="122">
        <v>1.2902559274056631</v>
      </c>
      <c r="H66" s="132">
        <v>14.762000000330852</v>
      </c>
      <c r="I66" s="122">
        <v>3.5690971601808945</v>
      </c>
      <c r="K66" s="132">
        <v>30.339373084951696</v>
      </c>
      <c r="L66" s="122">
        <v>7.3353319547990017</v>
      </c>
      <c r="N66" s="132">
        <v>-1.064562809640007</v>
      </c>
      <c r="O66" s="122">
        <v>-0.25738572690930678</v>
      </c>
      <c r="Q66" s="132">
        <v>-14.512810274980836</v>
      </c>
      <c r="R66" s="122">
        <v>-3.5088490677087996</v>
      </c>
      <c r="S66" s="122"/>
      <c r="T66" s="381">
        <v>413.60599999980559</v>
      </c>
      <c r="U66" s="381">
        <v>428.36800000013642</v>
      </c>
    </row>
    <row r="67" spans="1:21">
      <c r="A67" t="str">
        <f>name!A65</f>
        <v>Services to buildings</v>
      </c>
      <c r="B67" s="132">
        <v>435.47399999979547</v>
      </c>
      <c r="C67" s="122">
        <v>1.4078739607613997</v>
      </c>
      <c r="D67" s="144">
        <v>100</v>
      </c>
      <c r="E67" s="132">
        <v>454.83400000014473</v>
      </c>
      <c r="F67" s="122">
        <v>1.3699722306185969</v>
      </c>
      <c r="H67" s="132">
        <v>19.360000000349245</v>
      </c>
      <c r="I67" s="122">
        <v>4.4457303996009729</v>
      </c>
      <c r="K67" s="132">
        <v>31.943463476826398</v>
      </c>
      <c r="L67" s="122">
        <v>7.3353319547990017</v>
      </c>
      <c r="N67" s="132">
        <v>-0.85995804046995161</v>
      </c>
      <c r="O67" s="122">
        <v>-0.19747632246020552</v>
      </c>
      <c r="Q67" s="132">
        <v>-11.723505436007201</v>
      </c>
      <c r="R67" s="122">
        <v>-2.6921252327378231</v>
      </c>
      <c r="S67" s="122"/>
      <c r="T67" s="381">
        <v>435.47399999979547</v>
      </c>
      <c r="U67" s="381">
        <v>454.83400000014473</v>
      </c>
    </row>
    <row r="68" spans="1:21">
      <c r="A68" t="str">
        <f>name!A66</f>
        <v>Office administrative</v>
      </c>
      <c r="B68" s="132">
        <v>242.30100000016066</v>
      </c>
      <c r="C68" s="122">
        <v>0.78335163193861013</v>
      </c>
      <c r="D68" s="144">
        <v>100</v>
      </c>
      <c r="E68" s="132">
        <v>263.26700000002035</v>
      </c>
      <c r="F68" s="122">
        <v>0.79296727869547856</v>
      </c>
      <c r="H68" s="132">
        <v>20.965999999859719</v>
      </c>
      <c r="I68" s="122">
        <v>8.6528739047077057</v>
      </c>
      <c r="K68" s="132">
        <v>17.773582679809312</v>
      </c>
      <c r="L68" s="122">
        <v>7.3353319547990017</v>
      </c>
      <c r="N68" s="132">
        <v>0.2181708516137455</v>
      </c>
      <c r="O68" s="122">
        <v>9.0041251011593354E-2</v>
      </c>
      <c r="Q68" s="132">
        <v>2.974246468436661</v>
      </c>
      <c r="R68" s="122">
        <v>1.2275006988971109</v>
      </c>
      <c r="S68" s="122"/>
      <c r="T68" s="381">
        <v>242.30100000016066</v>
      </c>
      <c r="U68" s="381">
        <v>263.26700000002035</v>
      </c>
    </row>
    <row r="69" spans="1:21">
      <c r="A69" t="str">
        <f>name!A67</f>
        <v>Public administration and defence</v>
      </c>
      <c r="B69" s="132">
        <v>90.647000000060117</v>
      </c>
      <c r="C69" s="122">
        <v>0.29305894478495426</v>
      </c>
      <c r="D69" s="144">
        <v>100</v>
      </c>
      <c r="E69" s="132">
        <v>97.768000000007532</v>
      </c>
      <c r="F69" s="122">
        <v>0.29447984329027005</v>
      </c>
      <c r="H69" s="132">
        <v>7.1209999999474238</v>
      </c>
      <c r="I69" s="122">
        <v>7.8557481217720406</v>
      </c>
      <c r="K69" s="132">
        <v>6.6492583570710604</v>
      </c>
      <c r="L69" s="122">
        <v>7.3353319547990017</v>
      </c>
      <c r="N69" s="132">
        <v>3.2238979321913774E-2</v>
      </c>
      <c r="O69" s="122">
        <v>3.5565412337851661E-2</v>
      </c>
      <c r="Q69" s="132">
        <v>0.43950266355444967</v>
      </c>
      <c r="R69" s="122">
        <v>0.48485075463518729</v>
      </c>
      <c r="S69" s="122"/>
      <c r="T69" s="381">
        <v>90.647000000060117</v>
      </c>
      <c r="U69" s="381">
        <v>97.768000000007532</v>
      </c>
    </row>
    <row r="70" spans="1:21">
      <c r="A70" t="str">
        <f>name!A68</f>
        <v xml:space="preserve">Education </v>
      </c>
      <c r="B70" s="132">
        <v>541.20600000035859</v>
      </c>
      <c r="C70" s="122">
        <v>1.7497022435523057</v>
      </c>
      <c r="D70" s="144">
        <v>100</v>
      </c>
      <c r="E70" s="132">
        <v>583.72000000004539</v>
      </c>
      <c r="F70" s="122">
        <v>1.75818032613326</v>
      </c>
      <c r="H70" s="132">
        <v>42.513999999686845</v>
      </c>
      <c r="I70" s="122">
        <v>7.8554191933678998</v>
      </c>
      <c r="K70" s="132">
        <v>39.699256659315786</v>
      </c>
      <c r="L70" s="122">
        <v>7.3353319547990017</v>
      </c>
      <c r="N70" s="132">
        <v>0.19236048739177392</v>
      </c>
      <c r="O70" s="122">
        <v>3.5542933262315363E-2</v>
      </c>
      <c r="Q70" s="132">
        <v>2.6223828529792854</v>
      </c>
      <c r="R70" s="122">
        <v>0.48454430530658343</v>
      </c>
      <c r="S70" s="122"/>
      <c r="T70" s="381">
        <v>541.20600000035859</v>
      </c>
      <c r="U70" s="381">
        <v>583.72000000004539</v>
      </c>
    </row>
    <row r="71" spans="1:21">
      <c r="A71" t="str">
        <f>name!A69</f>
        <v>Health</v>
      </c>
      <c r="B71" s="132">
        <v>89.69100000005939</v>
      </c>
      <c r="C71" s="122">
        <v>0.28996822638043518</v>
      </c>
      <c r="D71" s="144">
        <v>100</v>
      </c>
      <c r="E71" s="132">
        <v>93.170000000007207</v>
      </c>
      <c r="F71" s="122">
        <v>0.28063054372958912</v>
      </c>
      <c r="H71" s="132">
        <v>3.4789999999478169</v>
      </c>
      <c r="I71" s="122">
        <v>3.8788730195287302</v>
      </c>
      <c r="K71" s="132">
        <v>6.5791325835831289</v>
      </c>
      <c r="L71" s="122">
        <v>7.3353319547990017</v>
      </c>
      <c r="N71" s="132">
        <v>-0.21186408231755838</v>
      </c>
      <c r="O71" s="122">
        <v>-0.23621554260451783</v>
      </c>
      <c r="Q71" s="132">
        <v>-2.8882685013177536</v>
      </c>
      <c r="R71" s="122">
        <v>-3.2202433926657537</v>
      </c>
      <c r="S71" s="122"/>
      <c r="T71" s="381">
        <v>89.69100000005939</v>
      </c>
      <c r="U71" s="381">
        <v>93.170000000007207</v>
      </c>
    </row>
    <row r="72" spans="1:21">
      <c r="A72" s="22" t="str">
        <f>name!A3</f>
        <v>All industries</v>
      </c>
      <c r="B72" s="133">
        <v>30931.320000000887</v>
      </c>
      <c r="C72" s="128">
        <v>100</v>
      </c>
      <c r="D72" s="174">
        <v>100</v>
      </c>
      <c r="E72" s="133">
        <v>33200.235000002089</v>
      </c>
      <c r="F72" s="128">
        <v>100</v>
      </c>
      <c r="G72" s="126"/>
      <c r="H72" s="133">
        <v>2268.9150000011996</v>
      </c>
      <c r="I72" s="128">
        <v>7.3353319547990017</v>
      </c>
      <c r="J72" s="126"/>
      <c r="K72" s="133">
        <v>2268.9150000011996</v>
      </c>
      <c r="L72" s="128">
        <v>7.3353319547990017</v>
      </c>
      <c r="M72" s="126"/>
      <c r="N72" s="133">
        <v>-2.5920599000528455E-11</v>
      </c>
      <c r="O72" s="128">
        <v>-8.3800494128694509E-14</v>
      </c>
      <c r="P72" s="126"/>
      <c r="Q72" s="133">
        <v>2.5963231564674061E-11</v>
      </c>
      <c r="R72" s="128">
        <v>2.7161651386449669E-13</v>
      </c>
      <c r="S72" s="128"/>
      <c r="T72" s="384">
        <v>30931.320000000887</v>
      </c>
      <c r="U72" s="384">
        <v>33200.235000002089</v>
      </c>
    </row>
    <row r="75" spans="1:21">
      <c r="A75" s="148" t="s">
        <v>211</v>
      </c>
      <c r="B75" s="149"/>
      <c r="C75" s="149"/>
      <c r="D75" s="149"/>
      <c r="E75" s="149"/>
    </row>
    <row r="76" spans="1:21">
      <c r="A76" s="356" t="s">
        <v>212</v>
      </c>
      <c r="B76" s="356"/>
      <c r="C76" s="356"/>
      <c r="D76" s="356"/>
      <c r="E76" s="356"/>
      <c r="F76" s="356"/>
      <c r="G76" s="356"/>
      <c r="H76" s="356"/>
      <c r="I76" s="356"/>
      <c r="J76" s="356"/>
      <c r="K76" s="356"/>
      <c r="L76" s="356"/>
      <c r="M76" s="356"/>
      <c r="N76" s="356"/>
      <c r="O76" s="356"/>
      <c r="P76" s="356"/>
      <c r="Q76" s="356"/>
      <c r="R76" s="356"/>
    </row>
    <row r="77" spans="1:21">
      <c r="A77" s="356" t="s">
        <v>213</v>
      </c>
      <c r="B77" s="356"/>
      <c r="C77" s="356"/>
      <c r="D77" s="356"/>
      <c r="E77" s="356"/>
      <c r="F77" s="356"/>
      <c r="G77" s="356"/>
      <c r="H77" s="356"/>
      <c r="I77" s="356"/>
      <c r="J77" s="356"/>
      <c r="K77" s="356"/>
      <c r="L77" s="356"/>
      <c r="M77" s="356"/>
      <c r="N77" s="356"/>
      <c r="O77" s="356"/>
      <c r="P77" s="356"/>
      <c r="Q77" s="356"/>
      <c r="R77" s="356"/>
    </row>
    <row r="78" spans="1:21">
      <c r="A78" s="356" t="s">
        <v>214</v>
      </c>
      <c r="B78" s="356"/>
      <c r="C78" s="356"/>
      <c r="D78" s="356"/>
      <c r="E78" s="356"/>
      <c r="F78" s="356"/>
      <c r="G78" s="356"/>
      <c r="H78" s="356"/>
      <c r="I78" s="356"/>
      <c r="J78" s="356"/>
      <c r="K78" s="356"/>
      <c r="L78" s="356"/>
      <c r="M78" s="356"/>
      <c r="N78" s="356"/>
      <c r="O78" s="356"/>
      <c r="P78" s="356"/>
      <c r="Q78" s="356"/>
      <c r="R78" s="356"/>
    </row>
    <row r="79" spans="1:21">
      <c r="A79" s="356" t="s">
        <v>215</v>
      </c>
      <c r="B79" s="356"/>
      <c r="C79" s="356"/>
      <c r="D79" s="356"/>
      <c r="E79" s="356"/>
      <c r="F79" s="356"/>
      <c r="G79" s="356"/>
      <c r="H79" s="356"/>
      <c r="I79" s="356"/>
      <c r="J79" s="356"/>
      <c r="K79" s="356"/>
      <c r="L79" s="356"/>
      <c r="M79" s="356"/>
      <c r="N79" s="356"/>
      <c r="O79" s="356"/>
      <c r="P79" s="356"/>
      <c r="Q79" s="356"/>
      <c r="R79" s="356"/>
    </row>
    <row r="80" spans="1:21">
      <c r="A80" s="356" t="s">
        <v>216</v>
      </c>
      <c r="B80" s="356"/>
      <c r="C80" s="356"/>
      <c r="D80" s="356"/>
      <c r="E80" s="356"/>
      <c r="F80" s="356"/>
      <c r="G80" s="356"/>
      <c r="H80" s="356"/>
      <c r="I80" s="356"/>
      <c r="J80" s="356"/>
      <c r="K80" s="356"/>
      <c r="L80" s="356"/>
      <c r="M80" s="356"/>
      <c r="N80" s="356"/>
      <c r="O80" s="356"/>
      <c r="P80" s="356"/>
      <c r="Q80" s="356"/>
      <c r="R80" s="356"/>
    </row>
    <row r="81" spans="1:18">
      <c r="A81" s="356" t="s">
        <v>217</v>
      </c>
      <c r="B81" s="356"/>
      <c r="C81" s="356"/>
      <c r="D81" s="356"/>
      <c r="E81" s="356"/>
      <c r="F81" s="356"/>
      <c r="G81" s="356"/>
      <c r="H81" s="356"/>
      <c r="I81" s="356"/>
      <c r="J81" s="356"/>
      <c r="K81" s="356"/>
      <c r="L81" s="356"/>
      <c r="M81" s="356"/>
      <c r="N81" s="356"/>
      <c r="O81" s="356"/>
      <c r="P81" s="356"/>
      <c r="Q81" s="356"/>
      <c r="R81" s="356"/>
    </row>
  </sheetData>
  <mergeCells count="10">
    <mergeCell ref="K2:R2"/>
    <mergeCell ref="K3:L3"/>
    <mergeCell ref="N3:O3"/>
    <mergeCell ref="Q3:R3"/>
    <mergeCell ref="A76:R76"/>
    <mergeCell ref="A77:R77"/>
    <mergeCell ref="A78:R78"/>
    <mergeCell ref="A79:R79"/>
    <mergeCell ref="A80:R80"/>
    <mergeCell ref="A81:R81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/>
  <cols>
    <col min="1" max="1" width="18.140625" style="73" customWidth="1"/>
    <col min="2" max="6" width="7.7109375" style="73" customWidth="1"/>
    <col min="7" max="7" width="3.5703125" style="73" customWidth="1"/>
    <col min="8" max="12" width="7.7109375" style="73" customWidth="1"/>
    <col min="13" max="13" width="3.5703125" style="73" customWidth="1"/>
    <col min="14" max="18" width="7.7109375" style="73" customWidth="1"/>
    <col min="19" max="19" width="3.5703125" style="73" customWidth="1"/>
    <col min="20" max="24" width="7.7109375" style="73" customWidth="1"/>
    <col min="25" max="16384" width="9.140625" style="73"/>
  </cols>
  <sheetData>
    <row r="1" spans="1:60" ht="15.75">
      <c r="A1" s="18" t="str">
        <f>CONCATENATE("Basic Table 2a  Population by Gender, Age Group and ISCED Qualification, ",Info!B8,", ",$B$5,"-",$F$5)</f>
        <v>Basic Table 2a  Population by Gender, Age Group and ISCED Qualification, , 2008-2025</v>
      </c>
      <c r="P1" s="158" t="s">
        <v>218</v>
      </c>
      <c r="Y1" s="18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8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>
      <c r="W2" s="354" t="s">
        <v>113</v>
      </c>
      <c r="X2" s="354"/>
      <c r="AP2" s="103" t="s">
        <v>113</v>
      </c>
      <c r="BH2" s="103" t="s">
        <v>113</v>
      </c>
    </row>
    <row r="3" spans="1:60">
      <c r="A3" s="100" t="s">
        <v>219</v>
      </c>
      <c r="B3" s="161" t="s">
        <v>220</v>
      </c>
      <c r="C3" s="161"/>
      <c r="D3" s="162"/>
      <c r="E3" s="161"/>
      <c r="F3" s="161"/>
      <c r="G3" s="100"/>
      <c r="H3" s="161" t="s">
        <v>221</v>
      </c>
      <c r="I3" s="161"/>
      <c r="J3" s="161"/>
      <c r="K3" s="161"/>
      <c r="L3" s="161"/>
      <c r="M3" s="100"/>
      <c r="N3" s="161" t="s">
        <v>222</v>
      </c>
      <c r="O3" s="161"/>
      <c r="P3" s="161"/>
      <c r="Q3" s="161"/>
      <c r="R3" s="161"/>
      <c r="S3" s="100"/>
      <c r="T3" s="360" t="s">
        <v>223</v>
      </c>
      <c r="U3" s="360"/>
      <c r="V3" s="360"/>
      <c r="W3" s="360"/>
      <c r="X3" s="360"/>
      <c r="Y3" s="100" t="s">
        <v>219</v>
      </c>
      <c r="Z3" s="360" t="s">
        <v>224</v>
      </c>
      <c r="AA3" s="360"/>
      <c r="AB3" s="360"/>
      <c r="AC3" s="360"/>
      <c r="AD3" s="360"/>
      <c r="AE3" s="100"/>
      <c r="AF3" s="161" t="s">
        <v>225</v>
      </c>
      <c r="AG3" s="161"/>
      <c r="AH3" s="161"/>
      <c r="AI3" s="161"/>
      <c r="AJ3" s="161"/>
      <c r="AK3" s="100"/>
      <c r="AL3" s="360" t="s">
        <v>226</v>
      </c>
      <c r="AM3" s="360"/>
      <c r="AN3" s="360"/>
      <c r="AO3" s="360"/>
      <c r="AP3" s="360"/>
      <c r="AQ3" s="100" t="s">
        <v>219</v>
      </c>
      <c r="AR3" s="360" t="s">
        <v>227</v>
      </c>
      <c r="AS3" s="360"/>
      <c r="AT3" s="360"/>
      <c r="AU3" s="360"/>
      <c r="AV3" s="360"/>
      <c r="AW3" s="100"/>
      <c r="AX3" s="161" t="s">
        <v>228</v>
      </c>
      <c r="AY3" s="161"/>
      <c r="AZ3" s="161"/>
      <c r="BA3" s="161"/>
      <c r="BB3" s="161"/>
      <c r="BC3" s="100"/>
      <c r="BD3" s="360" t="s">
        <v>229</v>
      </c>
      <c r="BE3" s="360"/>
      <c r="BF3" s="360"/>
      <c r="BG3" s="360"/>
      <c r="BH3" s="360"/>
    </row>
    <row r="4" spans="1:60">
      <c r="A4" s="157" t="s">
        <v>230</v>
      </c>
      <c r="B4" s="163"/>
      <c r="C4" s="163"/>
      <c r="D4" s="163"/>
      <c r="E4" s="163"/>
      <c r="F4" s="163"/>
      <c r="G4" s="74"/>
      <c r="H4" s="163"/>
      <c r="I4" s="163"/>
      <c r="J4" s="163"/>
      <c r="K4" s="163"/>
      <c r="L4" s="163"/>
      <c r="M4" s="74"/>
      <c r="N4" s="163"/>
      <c r="O4" s="163"/>
      <c r="P4" s="163"/>
      <c r="Q4" s="163"/>
      <c r="R4" s="163"/>
      <c r="S4" s="74"/>
      <c r="T4" s="163"/>
      <c r="U4" s="163"/>
      <c r="V4" s="163"/>
      <c r="W4" s="163"/>
      <c r="X4" s="163"/>
      <c r="Y4" s="157" t="s">
        <v>230</v>
      </c>
      <c r="Z4" s="163"/>
      <c r="AA4" s="163"/>
      <c r="AB4" s="163"/>
      <c r="AC4" s="163"/>
      <c r="AD4" s="163"/>
      <c r="AE4" s="74"/>
      <c r="AF4" s="163"/>
      <c r="AG4" s="163"/>
      <c r="AH4" s="163"/>
      <c r="AI4" s="163"/>
      <c r="AJ4" s="163"/>
      <c r="AK4" s="74"/>
      <c r="AL4" s="163"/>
      <c r="AM4" s="163"/>
      <c r="AN4" s="163"/>
      <c r="AO4" s="163"/>
      <c r="AP4" s="163"/>
      <c r="AQ4" s="157" t="s">
        <v>230</v>
      </c>
      <c r="AR4" s="163"/>
      <c r="AS4" s="163"/>
      <c r="AT4" s="163"/>
      <c r="AU4" s="163"/>
      <c r="AV4" s="163"/>
      <c r="AW4" s="74"/>
      <c r="AX4" s="163"/>
      <c r="AY4" s="163"/>
      <c r="AZ4" s="163"/>
      <c r="BA4" s="163"/>
      <c r="BB4" s="163"/>
      <c r="BC4" s="74"/>
      <c r="BD4" s="163"/>
      <c r="BE4" s="163"/>
      <c r="BF4" s="163"/>
      <c r="BG4" s="163"/>
      <c r="BH4" s="163"/>
    </row>
    <row r="5" spans="1:60">
      <c r="A5" s="156"/>
      <c r="B5" s="164">
        <v>2008</v>
      </c>
      <c r="C5" s="164">
        <v>2010</v>
      </c>
      <c r="D5" s="164">
        <v>2015</v>
      </c>
      <c r="E5" s="164">
        <v>2020</v>
      </c>
      <c r="F5" s="102">
        <v>2025</v>
      </c>
      <c r="G5" s="102"/>
      <c r="H5" s="102">
        <f>B5</f>
        <v>2008</v>
      </c>
      <c r="I5" s="102">
        <f>C5</f>
        <v>2010</v>
      </c>
      <c r="J5" s="102">
        <f>D5</f>
        <v>2015</v>
      </c>
      <c r="K5" s="102">
        <f>E5</f>
        <v>2020</v>
      </c>
      <c r="L5" s="102">
        <f>F5</f>
        <v>2025</v>
      </c>
      <c r="M5" s="102"/>
      <c r="N5" s="102">
        <f>B5</f>
        <v>2008</v>
      </c>
      <c r="O5" s="102">
        <f>C5</f>
        <v>2010</v>
      </c>
      <c r="P5" s="102">
        <f>D5</f>
        <v>2015</v>
      </c>
      <c r="Q5" s="102">
        <f>E5</f>
        <v>2020</v>
      </c>
      <c r="R5" s="102">
        <f>F5</f>
        <v>2025</v>
      </c>
      <c r="S5" s="102"/>
      <c r="T5" s="102">
        <f>B5</f>
        <v>2008</v>
      </c>
      <c r="U5" s="102">
        <f>C5</f>
        <v>2010</v>
      </c>
      <c r="V5" s="102">
        <f>D5</f>
        <v>2015</v>
      </c>
      <c r="W5" s="102">
        <f>E5</f>
        <v>2020</v>
      </c>
      <c r="X5" s="102">
        <f>F5</f>
        <v>2025</v>
      </c>
      <c r="Y5" s="156"/>
      <c r="Z5" s="164">
        <v>2008</v>
      </c>
      <c r="AA5" s="164">
        <v>2010</v>
      </c>
      <c r="AB5" s="164">
        <v>2012</v>
      </c>
      <c r="AC5" s="164">
        <v>2015</v>
      </c>
      <c r="AD5" s="157">
        <v>2020</v>
      </c>
      <c r="AE5" s="102"/>
      <c r="AF5" s="102">
        <f>Z5</f>
        <v>2008</v>
      </c>
      <c r="AG5" s="102">
        <f>AA5</f>
        <v>2010</v>
      </c>
      <c r="AH5" s="102">
        <f>AB5</f>
        <v>2012</v>
      </c>
      <c r="AI5" s="102">
        <f>AC5</f>
        <v>2015</v>
      </c>
      <c r="AJ5" s="102">
        <f>AD5</f>
        <v>2020</v>
      </c>
      <c r="AK5" s="102"/>
      <c r="AL5" s="102">
        <f>Z5</f>
        <v>2008</v>
      </c>
      <c r="AM5" s="102">
        <f>AA5</f>
        <v>2010</v>
      </c>
      <c r="AN5" s="102">
        <f>AB5</f>
        <v>2012</v>
      </c>
      <c r="AO5" s="102">
        <f>AC5</f>
        <v>2015</v>
      </c>
      <c r="AP5" s="102">
        <f>AD5</f>
        <v>2020</v>
      </c>
      <c r="AQ5" s="156"/>
      <c r="AR5" s="164">
        <v>2008</v>
      </c>
      <c r="AS5" s="164">
        <v>2010</v>
      </c>
      <c r="AT5" s="164">
        <v>2012</v>
      </c>
      <c r="AU5" s="164">
        <v>2015</v>
      </c>
      <c r="AV5" s="157">
        <v>2020</v>
      </c>
      <c r="AW5" s="102"/>
      <c r="AX5" s="102">
        <f>AR5</f>
        <v>2008</v>
      </c>
      <c r="AY5" s="102">
        <f>AS5</f>
        <v>2010</v>
      </c>
      <c r="AZ5" s="102">
        <f>AT5</f>
        <v>2012</v>
      </c>
      <c r="BA5" s="102">
        <f>AU5</f>
        <v>2015</v>
      </c>
      <c r="BB5" s="102">
        <f>AV5</f>
        <v>2020</v>
      </c>
      <c r="BC5" s="102"/>
      <c r="BD5" s="102">
        <f>AR5</f>
        <v>2008</v>
      </c>
      <c r="BE5" s="102">
        <f>AS5</f>
        <v>2010</v>
      </c>
      <c r="BF5" s="102">
        <f>AT5</f>
        <v>2012</v>
      </c>
      <c r="BG5" s="102">
        <f>AU5</f>
        <v>2015</v>
      </c>
      <c r="BH5" s="102">
        <f>AV5</f>
        <v>2020</v>
      </c>
    </row>
    <row r="6" spans="1:60">
      <c r="A6" s="96" t="s">
        <v>231</v>
      </c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Y6" s="96" t="str">
        <f>A6</f>
        <v>Males and females</v>
      </c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165"/>
      <c r="AP6" s="165"/>
      <c r="AQ6" s="96" t="str">
        <f>A6</f>
        <v>Males and females</v>
      </c>
      <c r="AV6" s="165"/>
      <c r="AW6" s="165"/>
      <c r="AX6" s="165"/>
      <c r="AY6" s="165"/>
      <c r="AZ6" s="165"/>
      <c r="BA6" s="165"/>
      <c r="BB6" s="165"/>
      <c r="BC6" s="165"/>
      <c r="BD6" s="165"/>
      <c r="BE6" s="165"/>
      <c r="BF6" s="165"/>
      <c r="BG6" s="165"/>
      <c r="BH6" s="165"/>
    </row>
    <row r="7" spans="1:60">
      <c r="A7" s="73" t="s">
        <v>232</v>
      </c>
      <c r="B7" s="166">
        <f>SUM(B21,B35)</f>
        <v>3459.4640427147242</v>
      </c>
      <c r="C7" s="166">
        <f t="shared" ref="C7:F7" si="0">SUM(C21,C35)</f>
        <v>3400.2899538632541</v>
      </c>
      <c r="D7" s="166">
        <f t="shared" si="0"/>
        <v>3045.4402650537522</v>
      </c>
      <c r="E7" s="166">
        <f t="shared" si="0"/>
        <v>2678.9714989136332</v>
      </c>
      <c r="F7" s="166">
        <f t="shared" si="0"/>
        <v>2317.0105072138758</v>
      </c>
      <c r="G7" s="165"/>
      <c r="H7" s="166">
        <f>SUM(H21,H35)</f>
        <v>1679.4259754428681</v>
      </c>
      <c r="I7" s="166">
        <f t="shared" ref="I7:L7" si="1">SUM(I21,I35)</f>
        <v>1648.317888485841</v>
      </c>
      <c r="J7" s="166">
        <f t="shared" si="1"/>
        <v>1477.7490935463652</v>
      </c>
      <c r="K7" s="166">
        <f t="shared" si="1"/>
        <v>1288.2296891194944</v>
      </c>
      <c r="L7" s="166">
        <f t="shared" si="1"/>
        <v>1088.2685344941576</v>
      </c>
      <c r="M7" s="165"/>
      <c r="N7" s="166">
        <f>SUM(N21,N35)</f>
        <v>1780.0380672718561</v>
      </c>
      <c r="O7" s="166">
        <f t="shared" ref="O7:R7" si="2">SUM(O21,O35)</f>
        <v>1751.9720653774136</v>
      </c>
      <c r="P7" s="166">
        <f t="shared" si="2"/>
        <v>1567.6911715073866</v>
      </c>
      <c r="Q7" s="166">
        <f t="shared" si="2"/>
        <v>1390.7418097941386</v>
      </c>
      <c r="R7" s="166">
        <f t="shared" si="2"/>
        <v>1228.7419727197182</v>
      </c>
      <c r="S7" s="165"/>
      <c r="T7" s="166">
        <f>SUM(T21,T35)</f>
        <v>0</v>
      </c>
      <c r="U7" s="166">
        <f t="shared" ref="U7:X7" si="3">SUM(U21,U35)</f>
        <v>0</v>
      </c>
      <c r="V7" s="166">
        <f t="shared" si="3"/>
        <v>0</v>
      </c>
      <c r="W7" s="166">
        <f t="shared" si="3"/>
        <v>0</v>
      </c>
      <c r="X7" s="166">
        <f t="shared" si="3"/>
        <v>0</v>
      </c>
      <c r="Y7" s="73" t="str">
        <f>A7</f>
        <v>15+</v>
      </c>
      <c r="Z7" s="166">
        <f>SUM(Z21,Z35)</f>
        <v>3091.791884793171</v>
      </c>
      <c r="AA7" s="166">
        <f t="shared" ref="AA7:AD7" si="4">SUM(AA21,AA35)</f>
        <v>3065.8806069644388</v>
      </c>
      <c r="AB7" s="166">
        <f t="shared" si="4"/>
        <v>3409.3013579609269</v>
      </c>
      <c r="AC7" s="166">
        <f t="shared" si="4"/>
        <v>3706.9349474249966</v>
      </c>
      <c r="AD7" s="166">
        <f t="shared" si="4"/>
        <v>4020.4986268054308</v>
      </c>
      <c r="AE7" s="165"/>
      <c r="AF7" s="166">
        <f>SUM(AF21,AF35)</f>
        <v>2927.4264642789112</v>
      </c>
      <c r="AG7" s="166">
        <f t="shared" ref="AG7:AJ7" si="5">SUM(AG21,AG35)</f>
        <v>2904.0501410418874</v>
      </c>
      <c r="AH7" s="166">
        <f t="shared" si="5"/>
        <v>3230.1495942820802</v>
      </c>
      <c r="AI7" s="166">
        <f t="shared" si="5"/>
        <v>3512.6427518955061</v>
      </c>
      <c r="AJ7" s="166">
        <f t="shared" si="5"/>
        <v>3811.1764268486331</v>
      </c>
      <c r="AK7" s="165"/>
      <c r="AL7" s="166">
        <f>SUM(AL21,AL35)</f>
        <v>164.36542051425988</v>
      </c>
      <c r="AM7" s="166">
        <f t="shared" ref="AM7:AP7" si="6">SUM(AM21,AM35)</f>
        <v>161.83046592255167</v>
      </c>
      <c r="AN7" s="166">
        <f t="shared" si="6"/>
        <v>179.15176367884681</v>
      </c>
      <c r="AO7" s="166">
        <f t="shared" si="6"/>
        <v>194.29219552948987</v>
      </c>
      <c r="AP7" s="166">
        <f t="shared" si="6"/>
        <v>209.3221999567977</v>
      </c>
      <c r="AQ7" s="73" t="str">
        <f>A7</f>
        <v>15+</v>
      </c>
      <c r="AR7" s="166">
        <f>SUM(AR21,AR35)</f>
        <v>2315.1550724921058</v>
      </c>
      <c r="AS7" s="166">
        <f t="shared" ref="AS7:AV7" si="7">SUM(AS21,AS35)</f>
        <v>2541.5004391723069</v>
      </c>
      <c r="AT7" s="166">
        <f t="shared" si="7"/>
        <v>2941.8093769853213</v>
      </c>
      <c r="AU7" s="166">
        <f t="shared" si="7"/>
        <v>3371.4645536613707</v>
      </c>
      <c r="AV7" s="166">
        <f t="shared" si="7"/>
        <v>3852.3018659806939</v>
      </c>
      <c r="AW7" s="165"/>
      <c r="AX7" s="166">
        <f>SUM(AX21,AX35)</f>
        <v>2273.2830854649774</v>
      </c>
      <c r="AY7" s="166">
        <f t="shared" ref="AY7:BB7" si="8">SUM(AY21,AY35)</f>
        <v>2495.5789443393905</v>
      </c>
      <c r="AZ7" s="166">
        <f t="shared" si="8"/>
        <v>2888.5095204216923</v>
      </c>
      <c r="BA7" s="166">
        <f t="shared" si="8"/>
        <v>3309.625834412429</v>
      </c>
      <c r="BB7" s="166">
        <f t="shared" si="8"/>
        <v>3780.5650780045271</v>
      </c>
      <c r="BC7" s="165"/>
      <c r="BD7" s="166">
        <f>SUM(BD21,BD35)</f>
        <v>41.87198702712827</v>
      </c>
      <c r="BE7" s="166">
        <f t="shared" ref="BE7:BH7" si="9">SUM(BE21,BE35)</f>
        <v>45.921494832916046</v>
      </c>
      <c r="BF7" s="166">
        <f t="shared" si="9"/>
        <v>53.299856563628751</v>
      </c>
      <c r="BG7" s="166">
        <f t="shared" si="9"/>
        <v>61.838719248942184</v>
      </c>
      <c r="BH7" s="166">
        <f t="shared" si="9"/>
        <v>71.736787976166625</v>
      </c>
    </row>
    <row r="8" spans="1:60">
      <c r="A8" s="73" t="s">
        <v>233</v>
      </c>
      <c r="B8" s="166">
        <f t="shared" ref="B8:F18" si="10">SUM(B22,B36)</f>
        <v>501.63108046561928</v>
      </c>
      <c r="C8" s="166">
        <f t="shared" si="10"/>
        <v>493.36896304450306</v>
      </c>
      <c r="D8" s="166">
        <f t="shared" si="10"/>
        <v>467.66784217805935</v>
      </c>
      <c r="E8" s="166">
        <f t="shared" si="10"/>
        <v>467.57168305686275</v>
      </c>
      <c r="F8" s="166">
        <f t="shared" si="10"/>
        <v>503.21354379106839</v>
      </c>
      <c r="G8" s="165"/>
      <c r="H8" s="166">
        <f t="shared" ref="H8:L18" si="11">SUM(H22,H36)</f>
        <v>114.48583632559203</v>
      </c>
      <c r="I8" s="166">
        <f t="shared" si="11"/>
        <v>112.4668251880446</v>
      </c>
      <c r="J8" s="166">
        <f t="shared" si="11"/>
        <v>106.55167737427834</v>
      </c>
      <c r="K8" s="166">
        <f t="shared" si="11"/>
        <v>106.48887604298042</v>
      </c>
      <c r="L8" s="166">
        <f t="shared" si="11"/>
        <v>114.56799971676224</v>
      </c>
      <c r="M8" s="165"/>
      <c r="N8" s="166">
        <f t="shared" ref="N8:R18" si="12">SUM(N22,N36)</f>
        <v>387.14524414002727</v>
      </c>
      <c r="O8" s="166">
        <f t="shared" si="12"/>
        <v>380.90213785645847</v>
      </c>
      <c r="P8" s="166">
        <f t="shared" si="12"/>
        <v>361.11616480378109</v>
      </c>
      <c r="Q8" s="166">
        <f t="shared" si="12"/>
        <v>361.08280701388242</v>
      </c>
      <c r="R8" s="166">
        <f t="shared" si="12"/>
        <v>388.64554407430614</v>
      </c>
      <c r="S8" s="165"/>
      <c r="T8" s="166">
        <f t="shared" ref="T8:X18" si="13">SUM(T22,T36)</f>
        <v>0</v>
      </c>
      <c r="U8" s="166">
        <f t="shared" si="13"/>
        <v>0</v>
      </c>
      <c r="V8" s="166">
        <f t="shared" si="13"/>
        <v>0</v>
      </c>
      <c r="W8" s="166">
        <f t="shared" si="13"/>
        <v>0</v>
      </c>
      <c r="X8" s="166">
        <f t="shared" si="13"/>
        <v>0</v>
      </c>
      <c r="Y8" s="73" t="str">
        <f t="shared" ref="Y8:Y20" si="14">A8</f>
        <v>15-19</v>
      </c>
      <c r="Z8" s="166">
        <f t="shared" ref="Z8:AD18" si="15">SUM(Z22,Z36)</f>
        <v>150.08101199827104</v>
      </c>
      <c r="AA8" s="166">
        <f t="shared" si="15"/>
        <v>155.93795619324226</v>
      </c>
      <c r="AB8" s="166">
        <f t="shared" si="15"/>
        <v>164.99720704459003</v>
      </c>
      <c r="AC8" s="166">
        <f t="shared" si="15"/>
        <v>178.36278144057661</v>
      </c>
      <c r="AD8" s="166">
        <f t="shared" si="15"/>
        <v>207.50995998860915</v>
      </c>
      <c r="AE8" s="165"/>
      <c r="AF8" s="166">
        <f t="shared" ref="AF8:AJ18" si="16">SUM(AF22,AF36)</f>
        <v>147.86996763731275</v>
      </c>
      <c r="AG8" s="166">
        <f t="shared" si="16"/>
        <v>153.62639813852158</v>
      </c>
      <c r="AH8" s="166">
        <f t="shared" si="16"/>
        <v>162.54197557268748</v>
      </c>
      <c r="AI8" s="166">
        <f t="shared" si="16"/>
        <v>175.70743183187028</v>
      </c>
      <c r="AJ8" s="166">
        <f t="shared" si="16"/>
        <v>204.41892397369543</v>
      </c>
      <c r="AK8" s="165"/>
      <c r="AL8" s="166">
        <f t="shared" ref="AL8:AP18" si="17">SUM(AL22,AL36)</f>
        <v>2.2110443609582711</v>
      </c>
      <c r="AM8" s="166">
        <f t="shared" si="17"/>
        <v>2.3115580547206553</v>
      </c>
      <c r="AN8" s="166">
        <f t="shared" si="17"/>
        <v>2.4552314719025436</v>
      </c>
      <c r="AO8" s="166">
        <f t="shared" si="17"/>
        <v>2.6553496087063317</v>
      </c>
      <c r="AP8" s="166">
        <f t="shared" si="17"/>
        <v>3.0910360149137395</v>
      </c>
      <c r="AQ8" s="73" t="str">
        <f t="shared" ref="AQ8:AQ18" si="18">A8</f>
        <v>15-19</v>
      </c>
      <c r="AR8" s="166">
        <f t="shared" ref="AR8:AV18" si="19">SUM(AR22,AR36)</f>
        <v>0.60290753610971359</v>
      </c>
      <c r="AS8" s="166">
        <f t="shared" si="19"/>
        <v>1.3250807622546965</v>
      </c>
      <c r="AT8" s="166">
        <f t="shared" si="19"/>
        <v>1.9219507773505975</v>
      </c>
      <c r="AU8" s="166">
        <f t="shared" si="19"/>
        <v>1.9655355025605465</v>
      </c>
      <c r="AV8" s="166">
        <f t="shared" si="19"/>
        <v>2.1654962203224546</v>
      </c>
      <c r="AW8" s="165"/>
      <c r="AX8" s="166">
        <f t="shared" ref="AX8:BB18" si="20">SUM(AX22,AX36)</f>
        <v>0.54737466781637356</v>
      </c>
      <c r="AY8" s="166">
        <f t="shared" si="20"/>
        <v>1.2407671949430608</v>
      </c>
      <c r="AZ8" s="166">
        <f t="shared" si="20"/>
        <v>1.8657913659809988</v>
      </c>
      <c r="BA8" s="166">
        <f t="shared" si="20"/>
        <v>1.9082644770900146</v>
      </c>
      <c r="BB8" s="166">
        <f t="shared" si="20"/>
        <v>2.1026008851094398</v>
      </c>
      <c r="BC8" s="165"/>
      <c r="BD8" s="166">
        <f t="shared" ref="BD8:BH18" si="21">SUM(BD22,BD36)</f>
        <v>5.5532868293339949E-2</v>
      </c>
      <c r="BE8" s="166">
        <f t="shared" si="21"/>
        <v>8.4313567311635793E-2</v>
      </c>
      <c r="BF8" s="166">
        <f t="shared" si="21"/>
        <v>5.6159411369598657E-2</v>
      </c>
      <c r="BG8" s="166">
        <f t="shared" si="21"/>
        <v>5.7271025470531763E-2</v>
      </c>
      <c r="BH8" s="166">
        <f t="shared" si="21"/>
        <v>6.2895335213014894E-2</v>
      </c>
    </row>
    <row r="9" spans="1:60">
      <c r="A9" s="73" t="s">
        <v>234</v>
      </c>
      <c r="B9" s="166">
        <f t="shared" si="10"/>
        <v>113.85056817629103</v>
      </c>
      <c r="C9" s="166">
        <f t="shared" si="10"/>
        <v>115.65112792404403</v>
      </c>
      <c r="D9" s="166">
        <f t="shared" si="10"/>
        <v>108.64656736044506</v>
      </c>
      <c r="E9" s="166">
        <f t="shared" si="10"/>
        <v>95.846387380896019</v>
      </c>
      <c r="F9" s="166">
        <f t="shared" si="10"/>
        <v>87.521667739268693</v>
      </c>
      <c r="G9" s="165"/>
      <c r="H9" s="166">
        <f t="shared" si="11"/>
        <v>36.71242366227203</v>
      </c>
      <c r="I9" s="166">
        <f t="shared" si="11"/>
        <v>37.140869961294854</v>
      </c>
      <c r="J9" s="166">
        <f t="shared" si="11"/>
        <v>34.405280511674597</v>
      </c>
      <c r="K9" s="166">
        <f t="shared" si="11"/>
        <v>30.323294922669287</v>
      </c>
      <c r="L9" s="166">
        <f t="shared" si="11"/>
        <v>27.681805786841899</v>
      </c>
      <c r="M9" s="165"/>
      <c r="N9" s="166">
        <f t="shared" si="12"/>
        <v>77.13814451401899</v>
      </c>
      <c r="O9" s="166">
        <f t="shared" si="12"/>
        <v>78.510257962749179</v>
      </c>
      <c r="P9" s="166">
        <f t="shared" si="12"/>
        <v>74.241286848770471</v>
      </c>
      <c r="Q9" s="166">
        <f t="shared" si="12"/>
        <v>65.523092458226728</v>
      </c>
      <c r="R9" s="166">
        <f t="shared" si="12"/>
        <v>59.839861952426787</v>
      </c>
      <c r="S9" s="165"/>
      <c r="T9" s="166">
        <f t="shared" si="13"/>
        <v>0</v>
      </c>
      <c r="U9" s="166">
        <f t="shared" si="13"/>
        <v>0</v>
      </c>
      <c r="V9" s="166">
        <f t="shared" si="13"/>
        <v>0</v>
      </c>
      <c r="W9" s="166">
        <f t="shared" si="13"/>
        <v>0</v>
      </c>
      <c r="X9" s="166">
        <f t="shared" si="13"/>
        <v>0</v>
      </c>
      <c r="Y9" s="73" t="str">
        <f t="shared" si="14"/>
        <v>20-24</v>
      </c>
      <c r="Z9" s="166">
        <f t="shared" si="15"/>
        <v>382.98069564153434</v>
      </c>
      <c r="AA9" s="166">
        <f t="shared" si="15"/>
        <v>394.35590193118628</v>
      </c>
      <c r="AB9" s="166">
        <f t="shared" si="15"/>
        <v>412.87076891444883</v>
      </c>
      <c r="AC9" s="166">
        <f t="shared" si="15"/>
        <v>399.37934349064994</v>
      </c>
      <c r="AD9" s="166">
        <f t="shared" si="15"/>
        <v>400.88677473503026</v>
      </c>
      <c r="AE9" s="165"/>
      <c r="AF9" s="166">
        <f t="shared" si="16"/>
        <v>363.98477719851724</v>
      </c>
      <c r="AG9" s="166">
        <f t="shared" si="16"/>
        <v>374.77312480698299</v>
      </c>
      <c r="AH9" s="166">
        <f t="shared" si="16"/>
        <v>392.37404871527087</v>
      </c>
      <c r="AI9" s="166">
        <f t="shared" si="16"/>
        <v>379.57670333802525</v>
      </c>
      <c r="AJ9" s="166">
        <f t="shared" si="16"/>
        <v>381.02605803364366</v>
      </c>
      <c r="AK9" s="165"/>
      <c r="AL9" s="166">
        <f t="shared" si="17"/>
        <v>18.995918443017182</v>
      </c>
      <c r="AM9" s="166">
        <f t="shared" si="17"/>
        <v>19.582777124203318</v>
      </c>
      <c r="AN9" s="166">
        <f t="shared" si="17"/>
        <v>20.49672019917795</v>
      </c>
      <c r="AO9" s="166">
        <f t="shared" si="17"/>
        <v>19.802640152624711</v>
      </c>
      <c r="AP9" s="166">
        <f t="shared" si="17"/>
        <v>19.860716701386607</v>
      </c>
      <c r="AQ9" s="73" t="str">
        <f t="shared" si="18"/>
        <v>20-24</v>
      </c>
      <c r="AR9" s="166">
        <f t="shared" si="19"/>
        <v>143.68473618217462</v>
      </c>
      <c r="AS9" s="166">
        <f t="shared" si="19"/>
        <v>150.71097014476959</v>
      </c>
      <c r="AT9" s="166">
        <f t="shared" si="19"/>
        <v>186.98366372510611</v>
      </c>
      <c r="AU9" s="166">
        <f t="shared" si="19"/>
        <v>201.56226912845403</v>
      </c>
      <c r="AV9" s="166">
        <f t="shared" si="19"/>
        <v>224.84155752570109</v>
      </c>
      <c r="AW9" s="165"/>
      <c r="AX9" s="166">
        <f t="shared" si="20"/>
        <v>143.33653114819879</v>
      </c>
      <c r="AY9" s="166">
        <f t="shared" si="20"/>
        <v>150.34362309651959</v>
      </c>
      <c r="AZ9" s="166">
        <f t="shared" si="20"/>
        <v>186.52415613000247</v>
      </c>
      <c r="BA9" s="166">
        <f t="shared" si="20"/>
        <v>201.06633972833936</v>
      </c>
      <c r="BB9" s="166">
        <f t="shared" si="20"/>
        <v>224.28837377749321</v>
      </c>
      <c r="BC9" s="165"/>
      <c r="BD9" s="166">
        <f t="shared" si="21"/>
        <v>0.34820503397584823</v>
      </c>
      <c r="BE9" s="166">
        <f t="shared" si="21"/>
        <v>0.36734704825001729</v>
      </c>
      <c r="BF9" s="166">
        <f t="shared" si="21"/>
        <v>0.4595075951036377</v>
      </c>
      <c r="BG9" s="166">
        <f t="shared" si="21"/>
        <v>0.49592940011468256</v>
      </c>
      <c r="BH9" s="166">
        <f t="shared" si="21"/>
        <v>0.55318374820788452</v>
      </c>
    </row>
    <row r="10" spans="1:60">
      <c r="A10" s="73" t="s">
        <v>235</v>
      </c>
      <c r="B10" s="166">
        <f t="shared" si="10"/>
        <v>115.37907358541085</v>
      </c>
      <c r="C10" s="166">
        <f t="shared" si="10"/>
        <v>127.07460532220105</v>
      </c>
      <c r="D10" s="166">
        <f t="shared" si="10"/>
        <v>118.40314244947737</v>
      </c>
      <c r="E10" s="166">
        <f t="shared" si="10"/>
        <v>117.74066640587412</v>
      </c>
      <c r="F10" s="166">
        <f t="shared" si="10"/>
        <v>104.64926095222505</v>
      </c>
      <c r="G10" s="165"/>
      <c r="H10" s="166">
        <f t="shared" si="11"/>
        <v>40.798223765839786</v>
      </c>
      <c r="I10" s="166">
        <f t="shared" si="11"/>
        <v>45.065990030629422</v>
      </c>
      <c r="J10" s="166">
        <f t="shared" si="11"/>
        <v>41.916443930124132</v>
      </c>
      <c r="K10" s="166">
        <f t="shared" si="11"/>
        <v>41.603247748686108</v>
      </c>
      <c r="L10" s="166">
        <f t="shared" si="11"/>
        <v>36.975172705743539</v>
      </c>
      <c r="M10" s="165"/>
      <c r="N10" s="166">
        <f t="shared" si="12"/>
        <v>74.580849819571057</v>
      </c>
      <c r="O10" s="166">
        <f t="shared" si="12"/>
        <v>82.008615291571644</v>
      </c>
      <c r="P10" s="166">
        <f t="shared" si="12"/>
        <v>76.48669851935324</v>
      </c>
      <c r="Q10" s="166">
        <f t="shared" si="12"/>
        <v>76.137418657188022</v>
      </c>
      <c r="R10" s="166">
        <f t="shared" si="12"/>
        <v>67.674088246481503</v>
      </c>
      <c r="S10" s="165"/>
      <c r="T10" s="166">
        <f t="shared" si="13"/>
        <v>0</v>
      </c>
      <c r="U10" s="166">
        <f t="shared" si="13"/>
        <v>0</v>
      </c>
      <c r="V10" s="166">
        <f t="shared" si="13"/>
        <v>0</v>
      </c>
      <c r="W10" s="166">
        <f t="shared" si="13"/>
        <v>0</v>
      </c>
      <c r="X10" s="166">
        <f t="shared" si="13"/>
        <v>0</v>
      </c>
      <c r="Y10" s="73" t="str">
        <f t="shared" si="14"/>
        <v>25-29</v>
      </c>
      <c r="Z10" s="166">
        <f t="shared" si="15"/>
        <v>285.32401508902581</v>
      </c>
      <c r="AA10" s="166">
        <f t="shared" si="15"/>
        <v>266.19879984541552</v>
      </c>
      <c r="AB10" s="166">
        <f t="shared" si="15"/>
        <v>280.11568976670378</v>
      </c>
      <c r="AC10" s="166">
        <f t="shared" si="15"/>
        <v>295.3482302777582</v>
      </c>
      <c r="AD10" s="166">
        <f t="shared" si="15"/>
        <v>289.74487116781143</v>
      </c>
      <c r="AE10" s="165"/>
      <c r="AF10" s="166">
        <f t="shared" si="16"/>
        <v>264.71283723333693</v>
      </c>
      <c r="AG10" s="166">
        <f t="shared" si="16"/>
        <v>246.96600220301298</v>
      </c>
      <c r="AH10" s="166">
        <f t="shared" si="16"/>
        <v>260.0379790136522</v>
      </c>
      <c r="AI10" s="166">
        <f t="shared" si="16"/>
        <v>274.30243506375962</v>
      </c>
      <c r="AJ10" s="166">
        <f t="shared" si="16"/>
        <v>269.19630907068336</v>
      </c>
      <c r="AK10" s="165"/>
      <c r="AL10" s="166">
        <f t="shared" si="17"/>
        <v>20.611177855688922</v>
      </c>
      <c r="AM10" s="166">
        <f t="shared" si="17"/>
        <v>19.232797642402538</v>
      </c>
      <c r="AN10" s="166">
        <f t="shared" si="17"/>
        <v>20.077710753051615</v>
      </c>
      <c r="AO10" s="166">
        <f t="shared" si="17"/>
        <v>21.04579521399852</v>
      </c>
      <c r="AP10" s="166">
        <f t="shared" si="17"/>
        <v>20.548562097128041</v>
      </c>
      <c r="AQ10" s="73" t="str">
        <f t="shared" si="18"/>
        <v>25-29</v>
      </c>
      <c r="AR10" s="166">
        <f t="shared" si="19"/>
        <v>285.48891132556332</v>
      </c>
      <c r="AS10" s="166">
        <f t="shared" si="19"/>
        <v>298.43559483238334</v>
      </c>
      <c r="AT10" s="166">
        <f t="shared" si="19"/>
        <v>329.80716778381884</v>
      </c>
      <c r="AU10" s="166">
        <f t="shared" si="19"/>
        <v>365.58310331636773</v>
      </c>
      <c r="AV10" s="166">
        <f t="shared" si="19"/>
        <v>376.96286787996354</v>
      </c>
      <c r="AW10" s="165"/>
      <c r="AX10" s="166">
        <f t="shared" si="20"/>
        <v>282.70510559860855</v>
      </c>
      <c r="AY10" s="166">
        <f t="shared" si="20"/>
        <v>295.51880182634955</v>
      </c>
      <c r="AZ10" s="166">
        <f t="shared" si="20"/>
        <v>326.59395287550331</v>
      </c>
      <c r="BA10" s="166">
        <f t="shared" si="20"/>
        <v>362.02223728946319</v>
      </c>
      <c r="BB10" s="166">
        <f t="shared" si="20"/>
        <v>373.29368404794025</v>
      </c>
      <c r="BC10" s="165"/>
      <c r="BD10" s="166">
        <f t="shared" si="21"/>
        <v>2.7838057269548049</v>
      </c>
      <c r="BE10" s="166">
        <f t="shared" si="21"/>
        <v>2.916793006033831</v>
      </c>
      <c r="BF10" s="166">
        <f t="shared" si="21"/>
        <v>3.2132149083155843</v>
      </c>
      <c r="BG10" s="166">
        <f t="shared" si="21"/>
        <v>3.5608660269045256</v>
      </c>
      <c r="BH10" s="166">
        <f t="shared" si="21"/>
        <v>3.669183832023271</v>
      </c>
    </row>
    <row r="11" spans="1:60">
      <c r="A11" s="73" t="s">
        <v>236</v>
      </c>
      <c r="B11" s="166">
        <f t="shared" si="10"/>
        <v>116.6348130799831</v>
      </c>
      <c r="C11" s="166">
        <f t="shared" si="10"/>
        <v>121.76030756867036</v>
      </c>
      <c r="D11" s="166">
        <f t="shared" si="10"/>
        <v>118.18823108583572</v>
      </c>
      <c r="E11" s="166">
        <f t="shared" si="10"/>
        <v>109.913241263863</v>
      </c>
      <c r="F11" s="166">
        <f t="shared" si="10"/>
        <v>93.676057480419587</v>
      </c>
      <c r="G11" s="165"/>
      <c r="H11" s="166">
        <f t="shared" si="11"/>
        <v>44.791528463722429</v>
      </c>
      <c r="I11" s="166">
        <f t="shared" si="11"/>
        <v>47.017124581566897</v>
      </c>
      <c r="J11" s="166">
        <f t="shared" si="11"/>
        <v>45.575297988406476</v>
      </c>
      <c r="K11" s="166">
        <f t="shared" si="11"/>
        <v>42.364426936905772</v>
      </c>
      <c r="L11" s="166">
        <f t="shared" si="11"/>
        <v>36.057194740501721</v>
      </c>
      <c r="M11" s="165"/>
      <c r="N11" s="166">
        <f t="shared" si="12"/>
        <v>71.843284616260675</v>
      </c>
      <c r="O11" s="166">
        <f t="shared" si="12"/>
        <v>74.743182987103467</v>
      </c>
      <c r="P11" s="166">
        <f t="shared" si="12"/>
        <v>72.612933097429249</v>
      </c>
      <c r="Q11" s="166">
        <f t="shared" si="12"/>
        <v>67.548814326957228</v>
      </c>
      <c r="R11" s="166">
        <f t="shared" si="12"/>
        <v>57.618862739917844</v>
      </c>
      <c r="S11" s="165"/>
      <c r="T11" s="166">
        <f t="shared" si="13"/>
        <v>0</v>
      </c>
      <c r="U11" s="166">
        <f t="shared" si="13"/>
        <v>0</v>
      </c>
      <c r="V11" s="166">
        <f t="shared" si="13"/>
        <v>0</v>
      </c>
      <c r="W11" s="166">
        <f t="shared" si="13"/>
        <v>0</v>
      </c>
      <c r="X11" s="166">
        <f t="shared" si="13"/>
        <v>0</v>
      </c>
      <c r="Y11" s="73" t="str">
        <f t="shared" si="14"/>
        <v>30-34</v>
      </c>
      <c r="Z11" s="166">
        <f t="shared" si="15"/>
        <v>275.1983307590632</v>
      </c>
      <c r="AA11" s="166">
        <f t="shared" si="15"/>
        <v>266.0829768237935</v>
      </c>
      <c r="AB11" s="166">
        <f t="shared" si="15"/>
        <v>285.51361958464611</v>
      </c>
      <c r="AC11" s="166">
        <f t="shared" si="15"/>
        <v>296.32015564557162</v>
      </c>
      <c r="AD11" s="166">
        <f t="shared" si="15"/>
        <v>317.88848271212305</v>
      </c>
      <c r="AE11" s="165"/>
      <c r="AF11" s="166">
        <f t="shared" si="16"/>
        <v>255.48717394280527</v>
      </c>
      <c r="AG11" s="166">
        <f t="shared" si="16"/>
        <v>247.06950912979124</v>
      </c>
      <c r="AH11" s="166">
        <f t="shared" si="16"/>
        <v>265.15360262399543</v>
      </c>
      <c r="AI11" s="166">
        <f t="shared" si="16"/>
        <v>275.24980054915358</v>
      </c>
      <c r="AJ11" s="166">
        <f t="shared" si="16"/>
        <v>295.36996417982152</v>
      </c>
      <c r="AK11" s="165"/>
      <c r="AL11" s="166">
        <f t="shared" si="17"/>
        <v>19.711156816257962</v>
      </c>
      <c r="AM11" s="166">
        <f t="shared" si="17"/>
        <v>19.01346769400228</v>
      </c>
      <c r="AN11" s="166">
        <f t="shared" si="17"/>
        <v>20.360016960650725</v>
      </c>
      <c r="AO11" s="166">
        <f t="shared" si="17"/>
        <v>21.070355096418023</v>
      </c>
      <c r="AP11" s="166">
        <f t="shared" si="17"/>
        <v>22.518518532301513</v>
      </c>
      <c r="AQ11" s="73" t="str">
        <f t="shared" si="18"/>
        <v>30-34</v>
      </c>
      <c r="AR11" s="166">
        <f t="shared" si="19"/>
        <v>294.76785616095367</v>
      </c>
      <c r="AS11" s="166">
        <f t="shared" si="19"/>
        <v>310.21271560753621</v>
      </c>
      <c r="AT11" s="166">
        <f t="shared" si="19"/>
        <v>340.70814932951816</v>
      </c>
      <c r="AU11" s="166">
        <f t="shared" si="19"/>
        <v>369.83560309056543</v>
      </c>
      <c r="AV11" s="166">
        <f t="shared" si="19"/>
        <v>418.22345980745735</v>
      </c>
      <c r="AW11" s="165"/>
      <c r="AX11" s="166">
        <f t="shared" si="20"/>
        <v>289.63080788660079</v>
      </c>
      <c r="AY11" s="166">
        <f t="shared" si="20"/>
        <v>304.79570037586518</v>
      </c>
      <c r="AZ11" s="166">
        <f t="shared" si="20"/>
        <v>334.81192752241731</v>
      </c>
      <c r="BA11" s="166">
        <f t="shared" si="20"/>
        <v>363.47263912244296</v>
      </c>
      <c r="BB11" s="166">
        <f t="shared" si="20"/>
        <v>411.01000020534735</v>
      </c>
      <c r="BC11" s="165"/>
      <c r="BD11" s="166">
        <f t="shared" si="21"/>
        <v>5.1370482743529013</v>
      </c>
      <c r="BE11" s="166">
        <f t="shared" si="21"/>
        <v>5.4170152316709643</v>
      </c>
      <c r="BF11" s="166">
        <f t="shared" si="21"/>
        <v>5.8962218071008108</v>
      </c>
      <c r="BG11" s="166">
        <f t="shared" si="21"/>
        <v>6.3629639681224219</v>
      </c>
      <c r="BH11" s="166">
        <f t="shared" si="21"/>
        <v>7.213459602110035</v>
      </c>
    </row>
    <row r="12" spans="1:60">
      <c r="A12" s="73" t="s">
        <v>237</v>
      </c>
      <c r="B12" s="166">
        <f t="shared" si="10"/>
        <v>154.11214519557188</v>
      </c>
      <c r="C12" s="166">
        <f t="shared" si="10"/>
        <v>148.15717385227549</v>
      </c>
      <c r="D12" s="166">
        <f t="shared" si="10"/>
        <v>124.1637405731941</v>
      </c>
      <c r="E12" s="166">
        <f t="shared" si="10"/>
        <v>103.00106387667563</v>
      </c>
      <c r="F12" s="166">
        <f t="shared" si="10"/>
        <v>79.667767346824377</v>
      </c>
      <c r="G12" s="165"/>
      <c r="H12" s="166">
        <f t="shared" si="11"/>
        <v>56.003261702459064</v>
      </c>
      <c r="I12" s="166">
        <f t="shared" si="11"/>
        <v>53.61808406304786</v>
      </c>
      <c r="J12" s="166">
        <f t="shared" si="11"/>
        <v>44.946036484441635</v>
      </c>
      <c r="K12" s="166">
        <f t="shared" si="11"/>
        <v>37.289691972205802</v>
      </c>
      <c r="L12" s="166">
        <f t="shared" si="11"/>
        <v>28.798762169451095</v>
      </c>
      <c r="M12" s="165"/>
      <c r="N12" s="166">
        <f t="shared" si="12"/>
        <v>98.108883493112813</v>
      </c>
      <c r="O12" s="166">
        <f t="shared" si="12"/>
        <v>94.539089789227646</v>
      </c>
      <c r="P12" s="166">
        <f t="shared" si="12"/>
        <v>79.21770408875247</v>
      </c>
      <c r="Q12" s="166">
        <f t="shared" si="12"/>
        <v>65.711371904469829</v>
      </c>
      <c r="R12" s="166">
        <f t="shared" si="12"/>
        <v>50.869005177373282</v>
      </c>
      <c r="S12" s="165"/>
      <c r="T12" s="166">
        <f t="shared" si="13"/>
        <v>0</v>
      </c>
      <c r="U12" s="166">
        <f t="shared" si="13"/>
        <v>0</v>
      </c>
      <c r="V12" s="166">
        <f t="shared" si="13"/>
        <v>0</v>
      </c>
      <c r="W12" s="166">
        <f t="shared" si="13"/>
        <v>0</v>
      </c>
      <c r="X12" s="166">
        <f t="shared" si="13"/>
        <v>0</v>
      </c>
      <c r="Y12" s="73" t="str">
        <f t="shared" si="14"/>
        <v>35-39</v>
      </c>
      <c r="Z12" s="166">
        <f t="shared" si="15"/>
        <v>322.88579844316473</v>
      </c>
      <c r="AA12" s="166">
        <f t="shared" si="15"/>
        <v>287.4998240668773</v>
      </c>
      <c r="AB12" s="166">
        <f t="shared" si="15"/>
        <v>280.92839455401918</v>
      </c>
      <c r="AC12" s="166">
        <f t="shared" si="15"/>
        <v>299.54044624192568</v>
      </c>
      <c r="AD12" s="166">
        <f t="shared" si="15"/>
        <v>317.07239175090058</v>
      </c>
      <c r="AE12" s="165"/>
      <c r="AF12" s="166">
        <f t="shared" si="16"/>
        <v>303.37132132153579</v>
      </c>
      <c r="AG12" s="166">
        <f t="shared" si="16"/>
        <v>270.10893635844064</v>
      </c>
      <c r="AH12" s="166">
        <f t="shared" si="16"/>
        <v>263.99085237827694</v>
      </c>
      <c r="AI12" s="166">
        <f t="shared" si="16"/>
        <v>281.50570542953108</v>
      </c>
      <c r="AJ12" s="166">
        <f t="shared" si="16"/>
        <v>298.00980149252553</v>
      </c>
      <c r="AK12" s="165"/>
      <c r="AL12" s="166">
        <f t="shared" si="17"/>
        <v>19.514477121629021</v>
      </c>
      <c r="AM12" s="166">
        <f t="shared" si="17"/>
        <v>17.390887708436701</v>
      </c>
      <c r="AN12" s="166">
        <f t="shared" si="17"/>
        <v>16.937542175742227</v>
      </c>
      <c r="AO12" s="166">
        <f t="shared" si="17"/>
        <v>18.034740812394613</v>
      </c>
      <c r="AP12" s="166">
        <f t="shared" si="17"/>
        <v>19.062590258375032</v>
      </c>
      <c r="AQ12" s="73" t="str">
        <f t="shared" si="18"/>
        <v>35-39</v>
      </c>
      <c r="AR12" s="166">
        <f t="shared" si="19"/>
        <v>284.91205636126335</v>
      </c>
      <c r="AS12" s="166">
        <f t="shared" si="19"/>
        <v>312.0690020808471</v>
      </c>
      <c r="AT12" s="166">
        <f t="shared" si="19"/>
        <v>329.21186487278669</v>
      </c>
      <c r="AU12" s="166">
        <f t="shared" si="19"/>
        <v>370.51748988139866</v>
      </c>
      <c r="AV12" s="166">
        <f t="shared" si="19"/>
        <v>410.36684090227504</v>
      </c>
      <c r="AW12" s="165"/>
      <c r="AX12" s="166">
        <f t="shared" si="20"/>
        <v>279.90489605154085</v>
      </c>
      <c r="AY12" s="166">
        <f t="shared" si="20"/>
        <v>306.58743388534367</v>
      </c>
      <c r="AZ12" s="166">
        <f t="shared" si="20"/>
        <v>323.49821814056338</v>
      </c>
      <c r="BA12" s="166">
        <f t="shared" si="20"/>
        <v>364.11650308755236</v>
      </c>
      <c r="BB12" s="166">
        <f t="shared" si="20"/>
        <v>403.29145582426617</v>
      </c>
      <c r="BC12" s="165"/>
      <c r="BD12" s="166">
        <f t="shared" si="21"/>
        <v>5.0071603097225514</v>
      </c>
      <c r="BE12" s="166">
        <f t="shared" si="21"/>
        <v>5.4815681955034474</v>
      </c>
      <c r="BF12" s="166">
        <f t="shared" si="21"/>
        <v>5.7136467322232507</v>
      </c>
      <c r="BG12" s="166">
        <f t="shared" si="21"/>
        <v>6.4009867938463287</v>
      </c>
      <c r="BH12" s="166">
        <f t="shared" si="21"/>
        <v>7.0753850780088525</v>
      </c>
    </row>
    <row r="13" spans="1:60">
      <c r="A13" s="73" t="s">
        <v>238</v>
      </c>
      <c r="B13" s="166">
        <f t="shared" si="10"/>
        <v>204.95472906429887</v>
      </c>
      <c r="C13" s="166">
        <f t="shared" si="10"/>
        <v>183.2736739920656</v>
      </c>
      <c r="D13" s="166">
        <f t="shared" si="10"/>
        <v>145.6109353666948</v>
      </c>
      <c r="E13" s="166">
        <f t="shared" si="10"/>
        <v>103.89159180775462</v>
      </c>
      <c r="F13" s="166">
        <f t="shared" si="10"/>
        <v>77.263056657170154</v>
      </c>
      <c r="G13" s="165"/>
      <c r="H13" s="166">
        <f t="shared" si="11"/>
        <v>75.043968155480954</v>
      </c>
      <c r="I13" s="166">
        <f t="shared" si="11"/>
        <v>66.962528106248641</v>
      </c>
      <c r="J13" s="166">
        <f t="shared" si="11"/>
        <v>53.205635957380473</v>
      </c>
      <c r="K13" s="166">
        <f t="shared" si="11"/>
        <v>37.898539746132187</v>
      </c>
      <c r="L13" s="166">
        <f t="shared" si="11"/>
        <v>28.104284599359445</v>
      </c>
      <c r="M13" s="165"/>
      <c r="N13" s="166">
        <f t="shared" si="12"/>
        <v>129.91076090881791</v>
      </c>
      <c r="O13" s="166">
        <f t="shared" si="12"/>
        <v>116.31114588581696</v>
      </c>
      <c r="P13" s="166">
        <f t="shared" si="12"/>
        <v>92.405299409314324</v>
      </c>
      <c r="Q13" s="166">
        <f t="shared" si="12"/>
        <v>65.993052061622421</v>
      </c>
      <c r="R13" s="166">
        <f t="shared" si="12"/>
        <v>49.158772057810708</v>
      </c>
      <c r="S13" s="165"/>
      <c r="T13" s="166">
        <f t="shared" si="13"/>
        <v>0</v>
      </c>
      <c r="U13" s="166">
        <f t="shared" si="13"/>
        <v>0</v>
      </c>
      <c r="V13" s="166">
        <f t="shared" si="13"/>
        <v>0</v>
      </c>
      <c r="W13" s="166">
        <f t="shared" si="13"/>
        <v>0</v>
      </c>
      <c r="X13" s="166">
        <f t="shared" si="13"/>
        <v>0</v>
      </c>
      <c r="Y13" s="73" t="str">
        <f t="shared" si="14"/>
        <v>40-44</v>
      </c>
      <c r="Z13" s="166">
        <f t="shared" si="15"/>
        <v>335.88123323100854</v>
      </c>
      <c r="AA13" s="166">
        <f t="shared" si="15"/>
        <v>312.92776503427081</v>
      </c>
      <c r="AB13" s="166">
        <f t="shared" si="15"/>
        <v>302.35363356602068</v>
      </c>
      <c r="AC13" s="166">
        <f t="shared" si="15"/>
        <v>306.64075194256282</v>
      </c>
      <c r="AD13" s="166">
        <f t="shared" si="15"/>
        <v>332.62704072525781</v>
      </c>
      <c r="AE13" s="165"/>
      <c r="AF13" s="166">
        <f t="shared" si="16"/>
        <v>318.57769939988361</v>
      </c>
      <c r="AG13" s="166">
        <f t="shared" si="16"/>
        <v>296.81769048378715</v>
      </c>
      <c r="AH13" s="166">
        <f t="shared" si="16"/>
        <v>286.81359197562756</v>
      </c>
      <c r="AI13" s="166">
        <f t="shared" si="16"/>
        <v>290.88951267461152</v>
      </c>
      <c r="AJ13" s="166">
        <f t="shared" si="16"/>
        <v>315.54744066806541</v>
      </c>
      <c r="AK13" s="165"/>
      <c r="AL13" s="166">
        <f t="shared" si="17"/>
        <v>17.303533831124952</v>
      </c>
      <c r="AM13" s="166">
        <f t="shared" si="17"/>
        <v>16.110074550483667</v>
      </c>
      <c r="AN13" s="166">
        <f t="shared" si="17"/>
        <v>15.540041590393106</v>
      </c>
      <c r="AO13" s="166">
        <f t="shared" si="17"/>
        <v>15.751239267951231</v>
      </c>
      <c r="AP13" s="166">
        <f t="shared" si="17"/>
        <v>17.079600057192419</v>
      </c>
      <c r="AQ13" s="73" t="str">
        <f t="shared" si="18"/>
        <v>40-44</v>
      </c>
      <c r="AR13" s="166">
        <f t="shared" si="19"/>
        <v>270.9300377046925</v>
      </c>
      <c r="AS13" s="166">
        <f t="shared" si="19"/>
        <v>293.55256097366362</v>
      </c>
      <c r="AT13" s="166">
        <f t="shared" si="19"/>
        <v>322.20043106728446</v>
      </c>
      <c r="AU13" s="166">
        <f t="shared" si="19"/>
        <v>339.66265624968264</v>
      </c>
      <c r="AV13" s="166">
        <f t="shared" si="19"/>
        <v>380.66890261757209</v>
      </c>
      <c r="AW13" s="165"/>
      <c r="AX13" s="166">
        <f t="shared" si="20"/>
        <v>266.38705152405146</v>
      </c>
      <c r="AY13" s="166">
        <f t="shared" si="20"/>
        <v>288.66110365884219</v>
      </c>
      <c r="AZ13" s="166">
        <f t="shared" si="20"/>
        <v>316.84860387450232</v>
      </c>
      <c r="BA13" s="166">
        <f t="shared" si="20"/>
        <v>334.03930780465259</v>
      </c>
      <c r="BB13" s="166">
        <f t="shared" si="20"/>
        <v>374.38350092432177</v>
      </c>
      <c r="BC13" s="165"/>
      <c r="BD13" s="166">
        <f t="shared" si="21"/>
        <v>4.5429861806410692</v>
      </c>
      <c r="BE13" s="166">
        <f t="shared" si="21"/>
        <v>4.8914573148213645</v>
      </c>
      <c r="BF13" s="166">
        <f t="shared" si="21"/>
        <v>5.3518271927821548</v>
      </c>
      <c r="BG13" s="166">
        <f t="shared" si="21"/>
        <v>5.6233484450300253</v>
      </c>
      <c r="BH13" s="166">
        <f t="shared" si="21"/>
        <v>6.2854016932503862</v>
      </c>
    </row>
    <row r="14" spans="1:60">
      <c r="A14" s="73" t="s">
        <v>239</v>
      </c>
      <c r="B14" s="166">
        <f t="shared" si="10"/>
        <v>254.65884951398874</v>
      </c>
      <c r="C14" s="166">
        <f t="shared" si="10"/>
        <v>249.88437754828158</v>
      </c>
      <c r="D14" s="166">
        <f t="shared" si="10"/>
        <v>178.47858254526204</v>
      </c>
      <c r="E14" s="166">
        <f t="shared" si="10"/>
        <v>132.26113301280915</v>
      </c>
      <c r="F14" s="166">
        <f t="shared" si="10"/>
        <v>96.751846747388981</v>
      </c>
      <c r="G14" s="165"/>
      <c r="H14" s="166">
        <f t="shared" si="11"/>
        <v>97.081589333520498</v>
      </c>
      <c r="I14" s="166">
        <f t="shared" si="11"/>
        <v>95.255541277602333</v>
      </c>
      <c r="J14" s="166">
        <f t="shared" si="11"/>
        <v>67.471423380418784</v>
      </c>
      <c r="K14" s="166">
        <f t="shared" si="11"/>
        <v>49.673795228067675</v>
      </c>
      <c r="L14" s="166">
        <f t="shared" si="11"/>
        <v>36.08222161527133</v>
      </c>
      <c r="M14" s="165"/>
      <c r="N14" s="166">
        <f t="shared" si="12"/>
        <v>157.57726018046827</v>
      </c>
      <c r="O14" s="166">
        <f t="shared" si="12"/>
        <v>154.62883627067924</v>
      </c>
      <c r="P14" s="166">
        <f t="shared" si="12"/>
        <v>111.00715916484326</v>
      </c>
      <c r="Q14" s="166">
        <f t="shared" si="12"/>
        <v>82.587337784741479</v>
      </c>
      <c r="R14" s="166">
        <f t="shared" si="12"/>
        <v>60.669625132117659</v>
      </c>
      <c r="S14" s="165"/>
      <c r="T14" s="166">
        <f t="shared" si="13"/>
        <v>0</v>
      </c>
      <c r="U14" s="166">
        <f t="shared" si="13"/>
        <v>0</v>
      </c>
      <c r="V14" s="166">
        <f t="shared" si="13"/>
        <v>0</v>
      </c>
      <c r="W14" s="166">
        <f t="shared" si="13"/>
        <v>0</v>
      </c>
      <c r="X14" s="166">
        <f t="shared" si="13"/>
        <v>0</v>
      </c>
      <c r="Y14" s="73" t="str">
        <f t="shared" si="14"/>
        <v>45-49</v>
      </c>
      <c r="Z14" s="166">
        <f t="shared" si="15"/>
        <v>296.89078106183149</v>
      </c>
      <c r="AA14" s="166">
        <f t="shared" si="15"/>
        <v>297.81089783713531</v>
      </c>
      <c r="AB14" s="166">
        <f t="shared" si="15"/>
        <v>323.00238790557432</v>
      </c>
      <c r="AC14" s="166">
        <f t="shared" si="15"/>
        <v>331.21130960813161</v>
      </c>
      <c r="AD14" s="166">
        <f t="shared" si="15"/>
        <v>336.85601788588576</v>
      </c>
      <c r="AE14" s="165"/>
      <c r="AF14" s="166">
        <f t="shared" si="16"/>
        <v>283.27902750867406</v>
      </c>
      <c r="AG14" s="166">
        <f t="shared" si="16"/>
        <v>284.17878044572376</v>
      </c>
      <c r="AH14" s="166">
        <f t="shared" si="16"/>
        <v>308.23712222424672</v>
      </c>
      <c r="AI14" s="166">
        <f t="shared" si="16"/>
        <v>316.06982132262846</v>
      </c>
      <c r="AJ14" s="166">
        <f t="shared" si="16"/>
        <v>321.4595503021684</v>
      </c>
      <c r="AK14" s="165"/>
      <c r="AL14" s="166">
        <f t="shared" si="17"/>
        <v>13.611753553157442</v>
      </c>
      <c r="AM14" s="166">
        <f t="shared" si="17"/>
        <v>13.632117391411541</v>
      </c>
      <c r="AN14" s="166">
        <f t="shared" si="17"/>
        <v>14.765265681327598</v>
      </c>
      <c r="AO14" s="166">
        <f t="shared" si="17"/>
        <v>15.141488285503199</v>
      </c>
      <c r="AP14" s="166">
        <f t="shared" si="17"/>
        <v>15.39646758371746</v>
      </c>
      <c r="AQ14" s="73" t="str">
        <f t="shared" si="18"/>
        <v>45-49</v>
      </c>
      <c r="AR14" s="166">
        <f t="shared" si="19"/>
        <v>250.46536942417981</v>
      </c>
      <c r="AS14" s="166">
        <f t="shared" si="19"/>
        <v>272.37172461458317</v>
      </c>
      <c r="AT14" s="166">
        <f t="shared" si="19"/>
        <v>298.56302954916367</v>
      </c>
      <c r="AU14" s="166">
        <f t="shared" si="19"/>
        <v>312.99255737905924</v>
      </c>
      <c r="AV14" s="166">
        <f t="shared" si="19"/>
        <v>324.57513536672525</v>
      </c>
      <c r="AW14" s="165"/>
      <c r="AX14" s="166">
        <f t="shared" si="20"/>
        <v>245.6503099953992</v>
      </c>
      <c r="AY14" s="166">
        <f t="shared" si="20"/>
        <v>267.15960275583393</v>
      </c>
      <c r="AZ14" s="166">
        <f t="shared" si="20"/>
        <v>292.91536308672585</v>
      </c>
      <c r="BA14" s="166">
        <f t="shared" si="20"/>
        <v>307.10108024986414</v>
      </c>
      <c r="BB14" s="166">
        <f t="shared" si="20"/>
        <v>318.48324328013177</v>
      </c>
      <c r="BC14" s="165"/>
      <c r="BD14" s="166">
        <f t="shared" si="21"/>
        <v>4.815059428780601</v>
      </c>
      <c r="BE14" s="166">
        <f t="shared" si="21"/>
        <v>5.2121218587492244</v>
      </c>
      <c r="BF14" s="166">
        <f t="shared" si="21"/>
        <v>5.6476664624378259</v>
      </c>
      <c r="BG14" s="166">
        <f t="shared" si="21"/>
        <v>5.8914771291951418</v>
      </c>
      <c r="BH14" s="166">
        <f t="shared" si="21"/>
        <v>6.0918920865934654</v>
      </c>
    </row>
    <row r="15" spans="1:60">
      <c r="A15" s="73" t="s">
        <v>240</v>
      </c>
      <c r="B15" s="166">
        <f t="shared" si="10"/>
        <v>294.38575187935118</v>
      </c>
      <c r="C15" s="166">
        <f t="shared" si="10"/>
        <v>286.9982182545242</v>
      </c>
      <c r="D15" s="166">
        <f t="shared" si="10"/>
        <v>249.82582092451261</v>
      </c>
      <c r="E15" s="166">
        <f t="shared" si="10"/>
        <v>196.7617947968931</v>
      </c>
      <c r="F15" s="166">
        <f t="shared" si="10"/>
        <v>151.97754802573786</v>
      </c>
      <c r="G15" s="165"/>
      <c r="H15" s="166">
        <f t="shared" si="11"/>
        <v>131.00937650791479</v>
      </c>
      <c r="I15" s="166">
        <f t="shared" si="11"/>
        <v>127.36456196076394</v>
      </c>
      <c r="J15" s="166">
        <f t="shared" si="11"/>
        <v>110.61745625735594</v>
      </c>
      <c r="K15" s="166">
        <f t="shared" si="11"/>
        <v>86.72311902225573</v>
      </c>
      <c r="L15" s="166">
        <f t="shared" si="11"/>
        <v>66.672294242780168</v>
      </c>
      <c r="M15" s="165"/>
      <c r="N15" s="166">
        <f t="shared" si="12"/>
        <v>163.37637537143638</v>
      </c>
      <c r="O15" s="166">
        <f t="shared" si="12"/>
        <v>159.63365629376028</v>
      </c>
      <c r="P15" s="166">
        <f t="shared" si="12"/>
        <v>139.20836466715667</v>
      </c>
      <c r="Q15" s="166">
        <f t="shared" si="12"/>
        <v>110.03867577463737</v>
      </c>
      <c r="R15" s="166">
        <f t="shared" si="12"/>
        <v>85.305253782957692</v>
      </c>
      <c r="S15" s="165"/>
      <c r="T15" s="166">
        <f t="shared" si="13"/>
        <v>0</v>
      </c>
      <c r="U15" s="166">
        <f t="shared" si="13"/>
        <v>0</v>
      </c>
      <c r="V15" s="166">
        <f t="shared" si="13"/>
        <v>0</v>
      </c>
      <c r="W15" s="166">
        <f t="shared" si="13"/>
        <v>0</v>
      </c>
      <c r="X15" s="166">
        <f t="shared" si="13"/>
        <v>0</v>
      </c>
      <c r="Y15" s="73" t="str">
        <f t="shared" si="14"/>
        <v>50-54</v>
      </c>
      <c r="Z15" s="166">
        <f t="shared" si="15"/>
        <v>252.37047905418916</v>
      </c>
      <c r="AA15" s="166">
        <f t="shared" si="15"/>
        <v>261.89041594407234</v>
      </c>
      <c r="AB15" s="166">
        <f t="shared" si="15"/>
        <v>299.71030873183417</v>
      </c>
      <c r="AC15" s="166">
        <f t="shared" si="15"/>
        <v>315.46818569365763</v>
      </c>
      <c r="AD15" s="166">
        <f t="shared" si="15"/>
        <v>326.48805608055682</v>
      </c>
      <c r="AE15" s="165"/>
      <c r="AF15" s="166">
        <f t="shared" si="16"/>
        <v>240.43095817773155</v>
      </c>
      <c r="AG15" s="166">
        <f t="shared" si="16"/>
        <v>249.49009896266847</v>
      </c>
      <c r="AH15" s="166">
        <f t="shared" si="16"/>
        <v>285.51870262738919</v>
      </c>
      <c r="AI15" s="166">
        <f t="shared" si="16"/>
        <v>300.52266588791969</v>
      </c>
      <c r="AJ15" s="166">
        <f t="shared" si="16"/>
        <v>311.01138512295665</v>
      </c>
      <c r="AK15" s="165"/>
      <c r="AL15" s="166">
        <f t="shared" si="17"/>
        <v>11.939520876457582</v>
      </c>
      <c r="AM15" s="166">
        <f t="shared" si="17"/>
        <v>12.400316981403893</v>
      </c>
      <c r="AN15" s="166">
        <f t="shared" si="17"/>
        <v>14.191606104444997</v>
      </c>
      <c r="AO15" s="166">
        <f t="shared" si="17"/>
        <v>14.945519805737941</v>
      </c>
      <c r="AP15" s="166">
        <f t="shared" si="17"/>
        <v>15.476670957600156</v>
      </c>
      <c r="AQ15" s="73" t="str">
        <f t="shared" si="18"/>
        <v>50-54</v>
      </c>
      <c r="AR15" s="166">
        <f t="shared" si="19"/>
        <v>192.52176906645971</v>
      </c>
      <c r="AS15" s="166">
        <f t="shared" si="19"/>
        <v>218.63836580140344</v>
      </c>
      <c r="AT15" s="166">
        <f t="shared" si="19"/>
        <v>269.43387034365321</v>
      </c>
      <c r="AU15" s="166">
        <f t="shared" si="19"/>
        <v>285.28301950944933</v>
      </c>
      <c r="AV15" s="166">
        <f t="shared" si="19"/>
        <v>297.31139589370531</v>
      </c>
      <c r="AW15" s="165"/>
      <c r="AX15" s="166">
        <f t="shared" si="20"/>
        <v>188.73862621744155</v>
      </c>
      <c r="AY15" s="166">
        <f t="shared" si="20"/>
        <v>214.45420550224321</v>
      </c>
      <c r="AZ15" s="166">
        <f t="shared" si="20"/>
        <v>264.30480604656157</v>
      </c>
      <c r="BA15" s="166">
        <f t="shared" si="20"/>
        <v>279.90450448189154</v>
      </c>
      <c r="BB15" s="166">
        <f t="shared" si="20"/>
        <v>291.76093520892465</v>
      </c>
      <c r="BC15" s="165"/>
      <c r="BD15" s="166">
        <f t="shared" si="21"/>
        <v>3.7831428490181196</v>
      </c>
      <c r="BE15" s="166">
        <f t="shared" si="21"/>
        <v>4.1841602991602418</v>
      </c>
      <c r="BF15" s="166">
        <f t="shared" si="21"/>
        <v>5.1290642970916389</v>
      </c>
      <c r="BG15" s="166">
        <f t="shared" si="21"/>
        <v>5.3785150275577474</v>
      </c>
      <c r="BH15" s="166">
        <f t="shared" si="21"/>
        <v>5.5504606847806457</v>
      </c>
    </row>
    <row r="16" spans="1:60">
      <c r="A16" s="73" t="s">
        <v>241</v>
      </c>
      <c r="B16" s="166">
        <f t="shared" si="10"/>
        <v>306.08926780144049</v>
      </c>
      <c r="C16" s="166">
        <f t="shared" si="10"/>
        <v>294.14842701950209</v>
      </c>
      <c r="D16" s="166">
        <f t="shared" si="10"/>
        <v>278.7696849113002</v>
      </c>
      <c r="E16" s="166">
        <f t="shared" si="10"/>
        <v>248.77345263961809</v>
      </c>
      <c r="F16" s="166">
        <f t="shared" si="10"/>
        <v>193.72538705183911</v>
      </c>
      <c r="G16" s="165"/>
      <c r="H16" s="166">
        <f t="shared" si="11"/>
        <v>148.94385811824938</v>
      </c>
      <c r="I16" s="166">
        <f t="shared" si="11"/>
        <v>142.80048229460601</v>
      </c>
      <c r="J16" s="166">
        <f t="shared" si="11"/>
        <v>135.1816907077864</v>
      </c>
      <c r="K16" s="166">
        <f t="shared" si="11"/>
        <v>120.20919098393057</v>
      </c>
      <c r="L16" s="166">
        <f t="shared" si="11"/>
        <v>93.347075058771225</v>
      </c>
      <c r="M16" s="165"/>
      <c r="N16" s="166">
        <f t="shared" si="12"/>
        <v>157.14540968319108</v>
      </c>
      <c r="O16" s="166">
        <f t="shared" si="12"/>
        <v>151.34794472489608</v>
      </c>
      <c r="P16" s="166">
        <f t="shared" si="12"/>
        <v>143.5879942035138</v>
      </c>
      <c r="Q16" s="166">
        <f t="shared" si="12"/>
        <v>128.56426165568749</v>
      </c>
      <c r="R16" s="166">
        <f t="shared" si="12"/>
        <v>100.37831199306788</v>
      </c>
      <c r="S16" s="165"/>
      <c r="T16" s="166">
        <f t="shared" si="13"/>
        <v>0</v>
      </c>
      <c r="U16" s="166">
        <f t="shared" si="13"/>
        <v>0</v>
      </c>
      <c r="V16" s="166">
        <f t="shared" si="13"/>
        <v>0</v>
      </c>
      <c r="W16" s="166">
        <f t="shared" si="13"/>
        <v>0</v>
      </c>
      <c r="X16" s="166">
        <f t="shared" si="13"/>
        <v>0</v>
      </c>
      <c r="Y16" s="73" t="str">
        <f t="shared" si="14"/>
        <v>55-59</v>
      </c>
      <c r="Z16" s="166">
        <f t="shared" si="15"/>
        <v>212.90735173400915</v>
      </c>
      <c r="AA16" s="166">
        <f t="shared" si="15"/>
        <v>208.34374328055009</v>
      </c>
      <c r="AB16" s="166">
        <f t="shared" si="15"/>
        <v>259.24373379880308</v>
      </c>
      <c r="AC16" s="166">
        <f t="shared" si="15"/>
        <v>305.1432760109069</v>
      </c>
      <c r="AD16" s="166">
        <f t="shared" si="15"/>
        <v>322.49455355236876</v>
      </c>
      <c r="AE16" s="165"/>
      <c r="AF16" s="166">
        <f t="shared" si="16"/>
        <v>201.39475054266842</v>
      </c>
      <c r="AG16" s="166">
        <f t="shared" si="16"/>
        <v>197.03624221177998</v>
      </c>
      <c r="AH16" s="166">
        <f t="shared" si="16"/>
        <v>245.14463767909808</v>
      </c>
      <c r="AI16" s="166">
        <f t="shared" si="16"/>
        <v>288.53398269710931</v>
      </c>
      <c r="AJ16" s="166">
        <f t="shared" si="16"/>
        <v>304.93914690919075</v>
      </c>
      <c r="AK16" s="165"/>
      <c r="AL16" s="166">
        <f t="shared" si="17"/>
        <v>11.512601191340718</v>
      </c>
      <c r="AM16" s="166">
        <f t="shared" si="17"/>
        <v>11.30750106877008</v>
      </c>
      <c r="AN16" s="166">
        <f t="shared" si="17"/>
        <v>14.099096119705006</v>
      </c>
      <c r="AO16" s="166">
        <f t="shared" si="17"/>
        <v>16.609293313797622</v>
      </c>
      <c r="AP16" s="166">
        <f t="shared" si="17"/>
        <v>17.555406643178003</v>
      </c>
      <c r="AQ16" s="73" t="str">
        <f t="shared" si="18"/>
        <v>55-59</v>
      </c>
      <c r="AR16" s="166">
        <f t="shared" si="19"/>
        <v>157.97838046455036</v>
      </c>
      <c r="AS16" s="166">
        <f t="shared" si="19"/>
        <v>186.95882969994784</v>
      </c>
      <c r="AT16" s="166">
        <f t="shared" si="19"/>
        <v>217.65058128989665</v>
      </c>
      <c r="AU16" s="166">
        <f t="shared" si="19"/>
        <v>252.64427134947505</v>
      </c>
      <c r="AV16" s="166">
        <f t="shared" si="19"/>
        <v>271.26605939579213</v>
      </c>
      <c r="AW16" s="165"/>
      <c r="AX16" s="166">
        <f t="shared" si="20"/>
        <v>154.50769225162065</v>
      </c>
      <c r="AY16" s="166">
        <f t="shared" si="20"/>
        <v>182.97075166245719</v>
      </c>
      <c r="AZ16" s="166">
        <f t="shared" si="20"/>
        <v>213.04788309462984</v>
      </c>
      <c r="BA16" s="166">
        <f t="shared" si="20"/>
        <v>247.41376136943245</v>
      </c>
      <c r="BB16" s="166">
        <f t="shared" si="20"/>
        <v>265.66983752581206</v>
      </c>
      <c r="BC16" s="165"/>
      <c r="BD16" s="166">
        <f t="shared" si="21"/>
        <v>3.470688212929685</v>
      </c>
      <c r="BE16" s="166">
        <f t="shared" si="21"/>
        <v>3.9880780374906122</v>
      </c>
      <c r="BF16" s="166">
        <f t="shared" si="21"/>
        <v>4.6026981952668296</v>
      </c>
      <c r="BG16" s="166">
        <f t="shared" si="21"/>
        <v>5.2305099800425978</v>
      </c>
      <c r="BH16" s="166">
        <f t="shared" si="21"/>
        <v>5.5962218699800657</v>
      </c>
    </row>
    <row r="17" spans="1:60">
      <c r="A17" s="73" t="s">
        <v>242</v>
      </c>
      <c r="B17" s="166">
        <f t="shared" si="10"/>
        <v>300.27408615273544</v>
      </c>
      <c r="C17" s="166">
        <f t="shared" si="10"/>
        <v>307.02902619700649</v>
      </c>
      <c r="D17" s="166">
        <f t="shared" si="10"/>
        <v>275.57160817400484</v>
      </c>
      <c r="E17" s="166">
        <f t="shared" si="10"/>
        <v>242.50355927772591</v>
      </c>
      <c r="F17" s="166">
        <f t="shared" si="10"/>
        <v>196.62341104090149</v>
      </c>
      <c r="G17" s="165"/>
      <c r="H17" s="166">
        <f t="shared" si="11"/>
        <v>163.84239820508242</v>
      </c>
      <c r="I17" s="166">
        <f t="shared" si="11"/>
        <v>167.48634018543549</v>
      </c>
      <c r="J17" s="166">
        <f t="shared" si="11"/>
        <v>150.0793901711946</v>
      </c>
      <c r="K17" s="166">
        <f t="shared" si="11"/>
        <v>131.95757743155312</v>
      </c>
      <c r="L17" s="166">
        <f t="shared" si="11"/>
        <v>106.85061904727925</v>
      </c>
      <c r="M17" s="165"/>
      <c r="N17" s="166">
        <f t="shared" si="12"/>
        <v>136.43168794765302</v>
      </c>
      <c r="O17" s="166">
        <f t="shared" si="12"/>
        <v>139.54268601157099</v>
      </c>
      <c r="P17" s="166">
        <f t="shared" si="12"/>
        <v>125.49221800281023</v>
      </c>
      <c r="Q17" s="166">
        <f t="shared" si="12"/>
        <v>110.54598184617279</v>
      </c>
      <c r="R17" s="166">
        <f t="shared" si="12"/>
        <v>89.772791993622235</v>
      </c>
      <c r="S17" s="165"/>
      <c r="T17" s="166">
        <f t="shared" si="13"/>
        <v>0</v>
      </c>
      <c r="U17" s="166">
        <f t="shared" si="13"/>
        <v>0</v>
      </c>
      <c r="V17" s="166">
        <f t="shared" si="13"/>
        <v>0</v>
      </c>
      <c r="W17" s="166">
        <f t="shared" si="13"/>
        <v>0</v>
      </c>
      <c r="X17" s="166">
        <f t="shared" si="13"/>
        <v>0</v>
      </c>
      <c r="Y17" s="73" t="str">
        <f t="shared" si="14"/>
        <v>60-64</v>
      </c>
      <c r="Z17" s="166">
        <f t="shared" si="15"/>
        <v>164.67698820651987</v>
      </c>
      <c r="AA17" s="166">
        <f t="shared" si="15"/>
        <v>173.02754429415353</v>
      </c>
      <c r="AB17" s="166">
        <f t="shared" si="15"/>
        <v>211.64420247686218</v>
      </c>
      <c r="AC17" s="166">
        <f t="shared" si="15"/>
        <v>262.32745519640429</v>
      </c>
      <c r="AD17" s="166">
        <f t="shared" si="15"/>
        <v>307.19809774569194</v>
      </c>
      <c r="AE17" s="165"/>
      <c r="AF17" s="166">
        <f t="shared" si="16"/>
        <v>156.364761045058</v>
      </c>
      <c r="AG17" s="166">
        <f t="shared" si="16"/>
        <v>164.2583318854096</v>
      </c>
      <c r="AH17" s="166">
        <f t="shared" si="16"/>
        <v>200.85031018974644</v>
      </c>
      <c r="AI17" s="166">
        <f t="shared" si="16"/>
        <v>248.92153917613587</v>
      </c>
      <c r="AJ17" s="166">
        <f t="shared" si="16"/>
        <v>291.50729249745882</v>
      </c>
      <c r="AK17" s="165"/>
      <c r="AL17" s="166">
        <f t="shared" si="17"/>
        <v>8.3122271614618572</v>
      </c>
      <c r="AM17" s="166">
        <f t="shared" si="17"/>
        <v>8.7692124087439236</v>
      </c>
      <c r="AN17" s="166">
        <f t="shared" si="17"/>
        <v>10.793892287115703</v>
      </c>
      <c r="AO17" s="166">
        <f t="shared" si="17"/>
        <v>13.405916020268418</v>
      </c>
      <c r="AP17" s="166">
        <f t="shared" si="17"/>
        <v>15.690805248233143</v>
      </c>
      <c r="AQ17" s="73" t="str">
        <f t="shared" si="18"/>
        <v>60-64</v>
      </c>
      <c r="AR17" s="166">
        <f t="shared" si="19"/>
        <v>124.1659256407448</v>
      </c>
      <c r="AS17" s="166">
        <f t="shared" si="19"/>
        <v>151.81542950884</v>
      </c>
      <c r="AT17" s="166">
        <f t="shared" si="19"/>
        <v>179.49318934913299</v>
      </c>
      <c r="AU17" s="166">
        <f t="shared" si="19"/>
        <v>229.32198552586985</v>
      </c>
      <c r="AV17" s="166">
        <f t="shared" si="19"/>
        <v>282.2344912134065</v>
      </c>
      <c r="AW17" s="165"/>
      <c r="AX17" s="166">
        <f t="shared" si="20"/>
        <v>120.47353378485059</v>
      </c>
      <c r="AY17" s="166">
        <f t="shared" si="20"/>
        <v>147.28380768694541</v>
      </c>
      <c r="AZ17" s="166">
        <f t="shared" si="20"/>
        <v>174.20095676665699</v>
      </c>
      <c r="BA17" s="166">
        <f t="shared" si="20"/>
        <v>222.61021872219823</v>
      </c>
      <c r="BB17" s="166">
        <f t="shared" si="20"/>
        <v>274.01688935790713</v>
      </c>
      <c r="BC17" s="165"/>
      <c r="BD17" s="166">
        <f t="shared" si="21"/>
        <v>3.6923918558942086</v>
      </c>
      <c r="BE17" s="166">
        <f t="shared" si="21"/>
        <v>4.5316218218945803</v>
      </c>
      <c r="BF17" s="166">
        <f t="shared" si="21"/>
        <v>5.2922325824760046</v>
      </c>
      <c r="BG17" s="166">
        <f t="shared" si="21"/>
        <v>6.7117668036716331</v>
      </c>
      <c r="BH17" s="166">
        <f t="shared" si="21"/>
        <v>8.2176018554993142</v>
      </c>
    </row>
    <row r="18" spans="1:60">
      <c r="A18" s="73" t="s">
        <v>243</v>
      </c>
      <c r="B18" s="166">
        <f t="shared" si="10"/>
        <v>1097.4936778000333</v>
      </c>
      <c r="C18" s="166">
        <f t="shared" si="10"/>
        <v>1072.9440531401806</v>
      </c>
      <c r="D18" s="166">
        <f t="shared" si="10"/>
        <v>980.11410948496587</v>
      </c>
      <c r="E18" s="166">
        <f t="shared" si="10"/>
        <v>860.70692539466086</v>
      </c>
      <c r="F18" s="166">
        <f t="shared" si="10"/>
        <v>731.94096038103203</v>
      </c>
      <c r="G18" s="165"/>
      <c r="H18" s="166">
        <f t="shared" si="11"/>
        <v>770.71351120273471</v>
      </c>
      <c r="I18" s="166">
        <f t="shared" si="11"/>
        <v>753.1395408366011</v>
      </c>
      <c r="J18" s="166">
        <f t="shared" si="11"/>
        <v>687.79876078330381</v>
      </c>
      <c r="K18" s="166">
        <f t="shared" si="11"/>
        <v>603.69792908410795</v>
      </c>
      <c r="L18" s="166">
        <f t="shared" si="11"/>
        <v>513.13110481139574</v>
      </c>
      <c r="M18" s="165"/>
      <c r="N18" s="166">
        <f t="shared" si="12"/>
        <v>326.78016659729855</v>
      </c>
      <c r="O18" s="166">
        <f t="shared" si="12"/>
        <v>319.80451230357949</v>
      </c>
      <c r="P18" s="166">
        <f t="shared" si="12"/>
        <v>292.31534870166195</v>
      </c>
      <c r="Q18" s="166">
        <f t="shared" si="12"/>
        <v>257.0089963105529</v>
      </c>
      <c r="R18" s="166">
        <f t="shared" si="12"/>
        <v>218.80985556963645</v>
      </c>
      <c r="S18" s="165"/>
      <c r="T18" s="166">
        <f t="shared" si="13"/>
        <v>0</v>
      </c>
      <c r="U18" s="166">
        <f t="shared" si="13"/>
        <v>0</v>
      </c>
      <c r="V18" s="166">
        <f t="shared" si="13"/>
        <v>0</v>
      </c>
      <c r="W18" s="166">
        <f t="shared" si="13"/>
        <v>0</v>
      </c>
      <c r="X18" s="166">
        <f t="shared" si="13"/>
        <v>0</v>
      </c>
      <c r="Y18" s="73" t="str">
        <f t="shared" si="14"/>
        <v>65+</v>
      </c>
      <c r="Z18" s="166">
        <f t="shared" si="15"/>
        <v>412.59519957455325</v>
      </c>
      <c r="AA18" s="166">
        <f t="shared" si="15"/>
        <v>441.80478171374187</v>
      </c>
      <c r="AB18" s="166">
        <f t="shared" si="15"/>
        <v>588.92141161742438</v>
      </c>
      <c r="AC18" s="166">
        <f t="shared" si="15"/>
        <v>717.19301187685096</v>
      </c>
      <c r="AD18" s="166">
        <f t="shared" si="15"/>
        <v>861.73238046119513</v>
      </c>
      <c r="AE18" s="165"/>
      <c r="AF18" s="166">
        <f t="shared" si="16"/>
        <v>391.95319027138726</v>
      </c>
      <c r="AG18" s="166">
        <f t="shared" si="16"/>
        <v>419.72502641576881</v>
      </c>
      <c r="AH18" s="166">
        <f t="shared" si="16"/>
        <v>559.48677128208897</v>
      </c>
      <c r="AI18" s="166">
        <f t="shared" si="16"/>
        <v>681.36315392476172</v>
      </c>
      <c r="AJ18" s="166">
        <f t="shared" si="16"/>
        <v>818.69055459842366</v>
      </c>
      <c r="AK18" s="165"/>
      <c r="AL18" s="166">
        <f t="shared" si="17"/>
        <v>20.642009303165985</v>
      </c>
      <c r="AM18" s="166">
        <f t="shared" si="17"/>
        <v>22.079755297973087</v>
      </c>
      <c r="AN18" s="166">
        <f t="shared" si="17"/>
        <v>29.434640335335327</v>
      </c>
      <c r="AO18" s="166">
        <f t="shared" si="17"/>
        <v>35.82985795208927</v>
      </c>
      <c r="AP18" s="166">
        <f t="shared" si="17"/>
        <v>43.041825862771589</v>
      </c>
      <c r="AQ18" s="73" t="str">
        <f t="shared" si="18"/>
        <v>65+</v>
      </c>
      <c r="AR18" s="166">
        <f t="shared" si="19"/>
        <v>309.63712262541355</v>
      </c>
      <c r="AS18" s="166">
        <f t="shared" si="19"/>
        <v>345.41016514607776</v>
      </c>
      <c r="AT18" s="166">
        <f t="shared" si="19"/>
        <v>465.83547889760985</v>
      </c>
      <c r="AU18" s="166">
        <f t="shared" si="19"/>
        <v>642.09606272848828</v>
      </c>
      <c r="AV18" s="166">
        <f t="shared" si="19"/>
        <v>863.68565915777276</v>
      </c>
      <c r="AW18" s="165"/>
      <c r="AX18" s="166">
        <f t="shared" si="20"/>
        <v>301.40115633884841</v>
      </c>
      <c r="AY18" s="166">
        <f t="shared" si="20"/>
        <v>336.56314669404765</v>
      </c>
      <c r="AZ18" s="166">
        <f t="shared" si="20"/>
        <v>453.89786151814837</v>
      </c>
      <c r="BA18" s="166">
        <f t="shared" si="20"/>
        <v>625.97097807950172</v>
      </c>
      <c r="BB18" s="166">
        <f t="shared" si="20"/>
        <v>842.26455696727317</v>
      </c>
      <c r="BC18" s="165"/>
      <c r="BD18" s="166">
        <f t="shared" si="21"/>
        <v>8.2359662865651462</v>
      </c>
      <c r="BE18" s="166">
        <f t="shared" si="21"/>
        <v>8.847018452030122</v>
      </c>
      <c r="BF18" s="166">
        <f t="shared" si="21"/>
        <v>11.937617379461411</v>
      </c>
      <c r="BG18" s="166">
        <f t="shared" si="21"/>
        <v>16.125084648986547</v>
      </c>
      <c r="BH18" s="166">
        <f t="shared" si="21"/>
        <v>21.421102190499685</v>
      </c>
    </row>
    <row r="19" spans="1:60">
      <c r="B19" s="166"/>
      <c r="C19" s="166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76"/>
      <c r="U19" s="76"/>
      <c r="V19" s="76"/>
      <c r="W19" s="76"/>
      <c r="X19" s="76"/>
      <c r="Z19" s="166"/>
      <c r="AA19" s="166"/>
      <c r="AB19" s="165"/>
      <c r="AC19" s="165"/>
      <c r="AD19" s="165"/>
      <c r="AE19" s="165"/>
      <c r="AF19" s="165"/>
      <c r="AG19" s="165"/>
      <c r="AH19" s="165"/>
      <c r="AI19" s="165"/>
      <c r="AJ19" s="165"/>
      <c r="AK19" s="165"/>
      <c r="AL19" s="165"/>
      <c r="AM19" s="165"/>
      <c r="AN19" s="165"/>
      <c r="AO19" s="165"/>
      <c r="AP19" s="165"/>
      <c r="AR19" s="166"/>
      <c r="AS19" s="166"/>
      <c r="AT19" s="165"/>
      <c r="AU19" s="165"/>
      <c r="AV19" s="165"/>
      <c r="AW19" s="165"/>
      <c r="AX19" s="165"/>
      <c r="AY19" s="165"/>
      <c r="AZ19" s="165"/>
      <c r="BA19" s="165"/>
      <c r="BB19" s="165"/>
      <c r="BC19" s="165"/>
      <c r="BD19" s="165"/>
      <c r="BE19" s="165"/>
      <c r="BF19" s="165"/>
      <c r="BG19" s="165"/>
      <c r="BH19" s="165"/>
    </row>
    <row r="20" spans="1:60">
      <c r="A20" s="96" t="s">
        <v>157</v>
      </c>
      <c r="B20" s="76"/>
      <c r="C20" s="76"/>
      <c r="D20" s="76"/>
      <c r="E20" s="76"/>
      <c r="F20" s="166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6"/>
      <c r="R20" s="166"/>
      <c r="S20" s="166"/>
      <c r="T20" s="76"/>
      <c r="U20" s="76"/>
      <c r="V20" s="76"/>
      <c r="W20" s="76"/>
      <c r="X20" s="76"/>
      <c r="Y20" s="96" t="str">
        <f t="shared" si="14"/>
        <v>Males</v>
      </c>
      <c r="Z20" s="76"/>
      <c r="AA20" s="76"/>
      <c r="AB20" s="76"/>
      <c r="AC20" s="7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96" t="str">
        <f>A20</f>
        <v>Males</v>
      </c>
      <c r="AR20" s="76"/>
      <c r="AS20" s="76"/>
      <c r="AT20" s="76"/>
      <c r="AU20" s="7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</row>
    <row r="21" spans="1:60">
      <c r="A21" s="73" t="str">
        <f>$A$7</f>
        <v>15+</v>
      </c>
      <c r="B21" s="166">
        <f>SUM(B22:B32)</f>
        <v>1620.2473852146525</v>
      </c>
      <c r="C21" s="166">
        <f t="shared" ref="C21:F21" si="22">SUM(C22:C32)</f>
        <v>1614.229579565203</v>
      </c>
      <c r="D21" s="166">
        <f t="shared" si="22"/>
        <v>1473.336267790763</v>
      </c>
      <c r="E21" s="166">
        <f t="shared" si="22"/>
        <v>1328.0088879474006</v>
      </c>
      <c r="F21" s="166">
        <f t="shared" si="22"/>
        <v>1173.6897154992268</v>
      </c>
      <c r="G21" s="166"/>
      <c r="H21" s="166">
        <f>SUM(H22:H32)</f>
        <v>716.1464894810149</v>
      </c>
      <c r="I21" s="166">
        <f t="shared" ref="I21:L21" si="23">SUM(I22:I32)</f>
        <v>715.64405967986499</v>
      </c>
      <c r="J21" s="166">
        <f t="shared" si="23"/>
        <v>655.33170359679184</v>
      </c>
      <c r="K21" s="166">
        <f t="shared" si="23"/>
        <v>588.71852138985469</v>
      </c>
      <c r="L21" s="166">
        <f t="shared" si="23"/>
        <v>511.80228655523888</v>
      </c>
      <c r="M21" s="166"/>
      <c r="N21" s="166">
        <f>SUM(N22:N32)</f>
        <v>904.1008957336378</v>
      </c>
      <c r="O21" s="166">
        <f t="shared" ref="O21:R21" si="24">SUM(O22:O32)</f>
        <v>898.5855198853385</v>
      </c>
      <c r="P21" s="166">
        <f t="shared" si="24"/>
        <v>818.00456419397131</v>
      </c>
      <c r="Q21" s="166">
        <f t="shared" si="24"/>
        <v>739.29036655754555</v>
      </c>
      <c r="R21" s="166">
        <f t="shared" si="24"/>
        <v>661.88742894398808</v>
      </c>
      <c r="S21" s="166"/>
      <c r="T21" s="166">
        <f>SUM(T22:T32)</f>
        <v>0</v>
      </c>
      <c r="U21" s="166">
        <f t="shared" ref="U21:X21" si="25">SUM(U22:U32)</f>
        <v>0</v>
      </c>
      <c r="V21" s="166">
        <f t="shared" si="25"/>
        <v>0</v>
      </c>
      <c r="W21" s="166">
        <f t="shared" si="25"/>
        <v>0</v>
      </c>
      <c r="X21" s="166">
        <f t="shared" si="25"/>
        <v>0</v>
      </c>
      <c r="Y21" s="73" t="str">
        <f>$A$7</f>
        <v>15+</v>
      </c>
      <c r="Z21" s="166">
        <f>SUM(Z22:Z32)</f>
        <v>1577.3024491368396</v>
      </c>
      <c r="AA21" s="166">
        <f t="shared" ref="AA21:AD21" si="26">SUM(AA22:AA32)</f>
        <v>1562.2040994555152</v>
      </c>
      <c r="AB21" s="166">
        <f t="shared" si="26"/>
        <v>1749.398715210659</v>
      </c>
      <c r="AC21" s="166">
        <f t="shared" si="26"/>
        <v>1909.488504579884</v>
      </c>
      <c r="AD21" s="166">
        <f t="shared" si="26"/>
        <v>2081.0684990931632</v>
      </c>
      <c r="AE21" s="166"/>
      <c r="AF21" s="166">
        <f>SUM(AF22:AF32)</f>
        <v>1499.7774540648427</v>
      </c>
      <c r="AG21" s="166">
        <f t="shared" ref="AG21:AJ21" si="27">SUM(AG22:AG32)</f>
        <v>1486.1007164675289</v>
      </c>
      <c r="AH21" s="166">
        <f t="shared" si="27"/>
        <v>1664.4597911861424</v>
      </c>
      <c r="AI21" s="166">
        <f t="shared" si="27"/>
        <v>1816.8390130222895</v>
      </c>
      <c r="AJ21" s="166">
        <f t="shared" si="27"/>
        <v>1980.4678395589967</v>
      </c>
      <c r="AK21" s="166"/>
      <c r="AL21" s="166">
        <f>SUM(AL22:AL32)</f>
        <v>77.524995071996941</v>
      </c>
      <c r="AM21" s="166">
        <f t="shared" ref="AM21:AP21" si="28">SUM(AM22:AM32)</f>
        <v>76.103382987986208</v>
      </c>
      <c r="AN21" s="166">
        <f t="shared" si="28"/>
        <v>84.938924024516524</v>
      </c>
      <c r="AO21" s="166">
        <f t="shared" si="28"/>
        <v>92.649491557594388</v>
      </c>
      <c r="AP21" s="166">
        <f t="shared" si="28"/>
        <v>100.60065953416633</v>
      </c>
      <c r="AQ21" s="73" t="str">
        <f>A21</f>
        <v>15+</v>
      </c>
      <c r="AR21" s="166">
        <f>SUM(AR22:AR32)</f>
        <v>1106.6731656485081</v>
      </c>
      <c r="AS21" s="166">
        <f t="shared" ref="AS21:AV21" si="29">SUM(AS22:AS32)</f>
        <v>1199.3363209792817</v>
      </c>
      <c r="AT21" s="166">
        <f t="shared" si="29"/>
        <v>1365.5690169985778</v>
      </c>
      <c r="AU21" s="166">
        <f t="shared" si="29"/>
        <v>1541.874607472716</v>
      </c>
      <c r="AV21" s="166">
        <f t="shared" si="29"/>
        <v>1748.1917854076103</v>
      </c>
      <c r="AW21" s="166"/>
      <c r="AX21" s="166">
        <f>SUM(AX22:AX32)</f>
        <v>1077.4599726477079</v>
      </c>
      <c r="AY21" s="166">
        <f t="shared" ref="AY21:BB21" si="30">SUM(AY22:AY32)</f>
        <v>1167.5793096493508</v>
      </c>
      <c r="AZ21" s="166">
        <f t="shared" si="30"/>
        <v>1328.8583394486275</v>
      </c>
      <c r="BA21" s="166">
        <f t="shared" si="30"/>
        <v>1499.4805167904162</v>
      </c>
      <c r="BB21" s="166">
        <f t="shared" si="30"/>
        <v>1698.9799024688193</v>
      </c>
      <c r="BC21" s="166"/>
      <c r="BD21" s="166">
        <f>SUM(BD22:BD32)</f>
        <v>29.213193000800217</v>
      </c>
      <c r="BE21" s="166">
        <f t="shared" ref="BE21:BH21" si="31">SUM(BE22:BE32)</f>
        <v>31.757011329930545</v>
      </c>
      <c r="BF21" s="166">
        <f t="shared" si="31"/>
        <v>36.710677549950461</v>
      </c>
      <c r="BG21" s="166">
        <f t="shared" si="31"/>
        <v>42.394090682299776</v>
      </c>
      <c r="BH21" s="166">
        <f t="shared" si="31"/>
        <v>49.211882938790794</v>
      </c>
    </row>
    <row r="22" spans="1:60">
      <c r="A22" s="73" t="str">
        <f>$A$8</f>
        <v>15-19</v>
      </c>
      <c r="B22" s="166">
        <v>265.87910321369338</v>
      </c>
      <c r="C22" s="166">
        <v>258.0443726840308</v>
      </c>
      <c r="D22" s="166">
        <v>243.141770298518</v>
      </c>
      <c r="E22" s="166">
        <v>242.0329033496289</v>
      </c>
      <c r="F22" s="165">
        <v>259.48953414978911</v>
      </c>
      <c r="G22" s="166"/>
      <c r="H22" s="166">
        <v>65.502301380201217</v>
      </c>
      <c r="I22" s="166">
        <v>63.57213501074979</v>
      </c>
      <c r="J22" s="166">
        <v>59.900673398189532</v>
      </c>
      <c r="K22" s="166">
        <v>59.627470660231161</v>
      </c>
      <c r="L22" s="165">
        <v>63.928125917066254</v>
      </c>
      <c r="M22" s="166"/>
      <c r="N22" s="166">
        <v>200.37680183349218</v>
      </c>
      <c r="O22" s="166">
        <v>194.47223767328106</v>
      </c>
      <c r="P22" s="166">
        <v>183.2410969003285</v>
      </c>
      <c r="Q22" s="166">
        <v>182.40543268939777</v>
      </c>
      <c r="R22" s="165">
        <v>195.56140823272287</v>
      </c>
      <c r="S22" s="166"/>
      <c r="T22" s="166">
        <v>0</v>
      </c>
      <c r="U22" s="166">
        <v>0</v>
      </c>
      <c r="V22" s="166">
        <v>0</v>
      </c>
      <c r="W22" s="166">
        <v>0</v>
      </c>
      <c r="X22" s="165">
        <v>0</v>
      </c>
      <c r="Y22" s="73" t="str">
        <f>$A$8</f>
        <v>15-19</v>
      </c>
      <c r="Z22" s="166">
        <v>66.511132470586716</v>
      </c>
      <c r="AA22" s="166">
        <v>73.411299772273082</v>
      </c>
      <c r="AB22" s="166">
        <v>80.502722532222251</v>
      </c>
      <c r="AC22" s="166">
        <v>87.416701640226961</v>
      </c>
      <c r="AD22" s="165">
        <v>102.22230692001014</v>
      </c>
      <c r="AE22" s="166"/>
      <c r="AF22" s="166">
        <v>65.408785510809949</v>
      </c>
      <c r="AG22" s="166">
        <v>72.194629595921498</v>
      </c>
      <c r="AH22" s="166">
        <v>79.16853183013346</v>
      </c>
      <c r="AI22" s="166">
        <v>85.967955058277127</v>
      </c>
      <c r="AJ22" s="165">
        <v>100.52812602924274</v>
      </c>
      <c r="AK22" s="166"/>
      <c r="AL22" s="166">
        <v>1.1023469597767663</v>
      </c>
      <c r="AM22" s="166">
        <v>1.2166701763515873</v>
      </c>
      <c r="AN22" s="166">
        <v>1.3341907020887731</v>
      </c>
      <c r="AO22" s="166">
        <v>1.4487465819498317</v>
      </c>
      <c r="AP22" s="165">
        <v>1.6941808907673945</v>
      </c>
      <c r="AQ22" s="73" t="str">
        <f t="shared" ref="AQ22:AQ32" si="32">A22</f>
        <v>15-19</v>
      </c>
      <c r="AR22" s="166">
        <v>0.47976431571996198</v>
      </c>
      <c r="AS22" s="166">
        <v>0.72732754369609554</v>
      </c>
      <c r="AT22" s="166">
        <v>0.48550716925975612</v>
      </c>
      <c r="AU22" s="166">
        <v>0.49439501014410386</v>
      </c>
      <c r="AV22" s="165">
        <v>0.54315893020071748</v>
      </c>
      <c r="AW22" s="166"/>
      <c r="AX22" s="166">
        <v>0.424231447426622</v>
      </c>
      <c r="AY22" s="166">
        <v>0.64301397638445978</v>
      </c>
      <c r="AZ22" s="166">
        <v>0.4293477578901575</v>
      </c>
      <c r="BA22" s="166">
        <v>0.43712398467357205</v>
      </c>
      <c r="BB22" s="165">
        <v>0.4802635949877026</v>
      </c>
      <c r="BC22" s="166"/>
      <c r="BD22" s="166">
        <v>5.5532868293339949E-2</v>
      </c>
      <c r="BE22" s="166">
        <v>8.4313567311635793E-2</v>
      </c>
      <c r="BF22" s="166">
        <v>5.6159411369598657E-2</v>
      </c>
      <c r="BG22" s="166">
        <v>5.7271025470531763E-2</v>
      </c>
      <c r="BH22" s="165">
        <v>6.2895335213014894E-2</v>
      </c>
    </row>
    <row r="23" spans="1:60">
      <c r="A23" s="73" t="str">
        <f>$A$9</f>
        <v>20-24</v>
      </c>
      <c r="B23" s="166">
        <v>62.563891293376557</v>
      </c>
      <c r="C23" s="166">
        <v>65.325512781581011</v>
      </c>
      <c r="D23" s="166">
        <v>67.029010553797633</v>
      </c>
      <c r="E23" s="166">
        <v>59.464637575430878</v>
      </c>
      <c r="F23" s="165">
        <v>54.38972351131563</v>
      </c>
      <c r="G23" s="166"/>
      <c r="H23" s="166">
        <v>17.754171051225015</v>
      </c>
      <c r="I23" s="166">
        <v>18.537831805843624</v>
      </c>
      <c r="J23" s="166">
        <v>19.021243659623707</v>
      </c>
      <c r="K23" s="166">
        <v>16.874679665555647</v>
      </c>
      <c r="L23" s="165">
        <v>15.434495406960504</v>
      </c>
      <c r="M23" s="166"/>
      <c r="N23" s="166">
        <v>44.809720242151542</v>
      </c>
      <c r="O23" s="166">
        <v>46.787680975737388</v>
      </c>
      <c r="P23" s="166">
        <v>48.00776689417394</v>
      </c>
      <c r="Q23" s="166">
        <v>42.589957909875231</v>
      </c>
      <c r="R23" s="165">
        <v>38.955228104355122</v>
      </c>
      <c r="S23" s="166"/>
      <c r="T23" s="166">
        <v>0</v>
      </c>
      <c r="U23" s="166">
        <v>0</v>
      </c>
      <c r="V23" s="166">
        <v>0</v>
      </c>
      <c r="W23" s="166">
        <v>0</v>
      </c>
      <c r="X23" s="165">
        <v>0</v>
      </c>
      <c r="Y23" s="73" t="str">
        <f>$A$9</f>
        <v>20-24</v>
      </c>
      <c r="Z23" s="166">
        <v>203.50469894139783</v>
      </c>
      <c r="AA23" s="166">
        <v>206.78831948241526</v>
      </c>
      <c r="AB23" s="166">
        <v>217.16688614689699</v>
      </c>
      <c r="AC23" s="166">
        <v>213.03529301815917</v>
      </c>
      <c r="AD23" s="165">
        <v>215.87448968593148</v>
      </c>
      <c r="AE23" s="166"/>
      <c r="AF23" s="166">
        <v>194.19340573185747</v>
      </c>
      <c r="AG23" s="166">
        <v>197.32683079971491</v>
      </c>
      <c r="AH23" s="166">
        <v>207.23048265883725</v>
      </c>
      <c r="AI23" s="166">
        <v>203.2879208070558</v>
      </c>
      <c r="AJ23" s="165">
        <v>205.99720170925298</v>
      </c>
      <c r="AK23" s="166"/>
      <c r="AL23" s="166">
        <v>9.3112932095403682</v>
      </c>
      <c r="AM23" s="166">
        <v>9.4614886827003613</v>
      </c>
      <c r="AN23" s="166">
        <v>9.936403488059721</v>
      </c>
      <c r="AO23" s="166">
        <v>9.7473722111033432</v>
      </c>
      <c r="AP23" s="165">
        <v>9.8772879766784918</v>
      </c>
      <c r="AQ23" s="73" t="str">
        <f t="shared" si="32"/>
        <v>20-24</v>
      </c>
      <c r="AR23" s="166">
        <v>55.35540976522563</v>
      </c>
      <c r="AS23" s="166">
        <v>59.428167736003701</v>
      </c>
      <c r="AT23" s="166">
        <v>76.351103299305365</v>
      </c>
      <c r="AU23" s="166">
        <v>82.69706940640998</v>
      </c>
      <c r="AV23" s="165">
        <v>92.251786802752903</v>
      </c>
      <c r="AW23" s="166"/>
      <c r="AX23" s="166">
        <v>55.171502233744391</v>
      </c>
      <c r="AY23" s="166">
        <v>59.230692610728923</v>
      </c>
      <c r="AZ23" s="166">
        <v>76.097464300047577</v>
      </c>
      <c r="BA23" s="166">
        <v>82.422307619001344</v>
      </c>
      <c r="BB23" s="165">
        <v>91.945269557157303</v>
      </c>
      <c r="BC23" s="166"/>
      <c r="BD23" s="166">
        <v>0.18390753148124411</v>
      </c>
      <c r="BE23" s="166">
        <v>0.19747512527477654</v>
      </c>
      <c r="BF23" s="166">
        <v>0.2536389992577906</v>
      </c>
      <c r="BG23" s="166">
        <v>0.27476178740863866</v>
      </c>
      <c r="BH23" s="165">
        <v>0.30651724559561289</v>
      </c>
    </row>
    <row r="24" spans="1:60">
      <c r="A24" s="73" t="str">
        <f>$A$10</f>
        <v>25-29</v>
      </c>
      <c r="B24" s="166">
        <v>66.398736675349255</v>
      </c>
      <c r="C24" s="166">
        <v>69.045212178063281</v>
      </c>
      <c r="D24" s="166">
        <v>66.627042081793974</v>
      </c>
      <c r="E24" s="166">
        <v>68.686692459413791</v>
      </c>
      <c r="F24" s="165">
        <v>61.118016987628771</v>
      </c>
      <c r="G24" s="166"/>
      <c r="H24" s="166">
        <v>22.566174767142297</v>
      </c>
      <c r="I24" s="166">
        <v>23.465649013403809</v>
      </c>
      <c r="J24" s="166">
        <v>22.643783635613381</v>
      </c>
      <c r="K24" s="166">
        <v>23.343782133688464</v>
      </c>
      <c r="L24" s="165">
        <v>20.771486527956</v>
      </c>
      <c r="M24" s="166"/>
      <c r="N24" s="166">
        <v>43.832561908206955</v>
      </c>
      <c r="O24" s="166">
        <v>45.579563164659476</v>
      </c>
      <c r="P24" s="166">
        <v>43.983258446180592</v>
      </c>
      <c r="Q24" s="166">
        <v>45.342910325725327</v>
      </c>
      <c r="R24" s="165">
        <v>40.346530459672763</v>
      </c>
      <c r="S24" s="166"/>
      <c r="T24" s="166">
        <v>0</v>
      </c>
      <c r="U24" s="166">
        <v>0</v>
      </c>
      <c r="V24" s="166">
        <v>0</v>
      </c>
      <c r="W24" s="166">
        <v>0</v>
      </c>
      <c r="X24" s="165">
        <v>0</v>
      </c>
      <c r="Y24" s="73" t="str">
        <f>$A$10</f>
        <v>25-29</v>
      </c>
      <c r="Z24" s="166">
        <v>157.53682636123301</v>
      </c>
      <c r="AA24" s="166">
        <v>146.82469164415315</v>
      </c>
      <c r="AB24" s="166">
        <v>162.09459077138558</v>
      </c>
      <c r="AC24" s="166">
        <v>176.76412293200428</v>
      </c>
      <c r="AD24" s="165">
        <v>178.0449747242445</v>
      </c>
      <c r="AE24" s="166"/>
      <c r="AF24" s="166">
        <v>147.64849438417414</v>
      </c>
      <c r="AG24" s="166">
        <v>137.60882551682283</v>
      </c>
      <c r="AH24" s="166">
        <v>151.92024178805138</v>
      </c>
      <c r="AI24" s="166">
        <v>165.66900835507411</v>
      </c>
      <c r="AJ24" s="165">
        <v>166.86940114891388</v>
      </c>
      <c r="AK24" s="166"/>
      <c r="AL24" s="166">
        <v>9.8883319770588862</v>
      </c>
      <c r="AM24" s="166">
        <v>9.21586612733031</v>
      </c>
      <c r="AN24" s="166">
        <v>10.174348983334211</v>
      </c>
      <c r="AO24" s="166">
        <v>11.095114576930154</v>
      </c>
      <c r="AP24" s="165">
        <v>11.175573575330596</v>
      </c>
      <c r="AQ24" s="73" t="str">
        <f t="shared" si="32"/>
        <v>25-29</v>
      </c>
      <c r="AR24" s="166">
        <v>119.99943696341774</v>
      </c>
      <c r="AS24" s="166">
        <v>129.39109617778351</v>
      </c>
      <c r="AT24" s="166">
        <v>137.02936714682045</v>
      </c>
      <c r="AU24" s="166">
        <v>151.42218460858194</v>
      </c>
      <c r="AV24" s="165">
        <v>154.61300828812676</v>
      </c>
      <c r="AW24" s="166"/>
      <c r="AX24" s="166">
        <v>118.70993980899782</v>
      </c>
      <c r="AY24" s="166">
        <v>128.00063464065943</v>
      </c>
      <c r="AZ24" s="166">
        <v>135.5567932955843</v>
      </c>
      <c r="BA24" s="166">
        <v>149.7950052068511</v>
      </c>
      <c r="BB24" s="165">
        <v>152.9514745672883</v>
      </c>
      <c r="BC24" s="166"/>
      <c r="BD24" s="166">
        <v>1.2894971544199207</v>
      </c>
      <c r="BE24" s="166">
        <v>1.3904615371240769</v>
      </c>
      <c r="BF24" s="166">
        <v>1.4725738512361566</v>
      </c>
      <c r="BG24" s="166">
        <v>1.6271794017308401</v>
      </c>
      <c r="BH24" s="165">
        <v>1.6615337208384582</v>
      </c>
    </row>
    <row r="25" spans="1:60">
      <c r="A25" s="73" t="str">
        <f>$A$11</f>
        <v>30-34</v>
      </c>
      <c r="B25" s="166">
        <v>68.283196879250426</v>
      </c>
      <c r="C25" s="166">
        <v>66.945802724107253</v>
      </c>
      <c r="D25" s="166">
        <v>66.03723253213704</v>
      </c>
      <c r="E25" s="166">
        <v>61.74876482433028</v>
      </c>
      <c r="F25" s="165">
        <v>53.450029841365982</v>
      </c>
      <c r="G25" s="166"/>
      <c r="H25" s="166">
        <v>24.544039774496266</v>
      </c>
      <c r="I25" s="166">
        <v>24.063322041545216</v>
      </c>
      <c r="J25" s="166">
        <v>23.736795331659089</v>
      </c>
      <c r="K25" s="166">
        <v>22.195343632842444</v>
      </c>
      <c r="L25" s="165">
        <v>19.212368288465317</v>
      </c>
      <c r="M25" s="166"/>
      <c r="N25" s="166">
        <v>43.739157104754149</v>
      </c>
      <c r="O25" s="166">
        <v>42.88248068256204</v>
      </c>
      <c r="P25" s="166">
        <v>42.300437200477958</v>
      </c>
      <c r="Q25" s="166">
        <v>39.553421191487843</v>
      </c>
      <c r="R25" s="165">
        <v>34.237661552900661</v>
      </c>
      <c r="S25" s="166"/>
      <c r="T25" s="166">
        <v>0</v>
      </c>
      <c r="U25" s="166">
        <v>0</v>
      </c>
      <c r="V25" s="166">
        <v>0</v>
      </c>
      <c r="W25" s="166">
        <v>0</v>
      </c>
      <c r="X25" s="165">
        <v>0</v>
      </c>
      <c r="Y25" s="73" t="str">
        <f>$A$11</f>
        <v>30-34</v>
      </c>
      <c r="Z25" s="166">
        <v>148.60780472425301</v>
      </c>
      <c r="AA25" s="166">
        <v>147.31893427815288</v>
      </c>
      <c r="AB25" s="166">
        <v>161.47366094590328</v>
      </c>
      <c r="AC25" s="166">
        <v>172.47340823028688</v>
      </c>
      <c r="AD25" s="165">
        <v>191.95713844294832</v>
      </c>
      <c r="AE25" s="166"/>
      <c r="AF25" s="166">
        <v>138.80683308840062</v>
      </c>
      <c r="AG25" s="166">
        <v>137.60298665378525</v>
      </c>
      <c r="AH25" s="166">
        <v>150.82413863510811</v>
      </c>
      <c r="AI25" s="166">
        <v>161.09845641798645</v>
      </c>
      <c r="AJ25" s="165">
        <v>179.29720884021523</v>
      </c>
      <c r="AK25" s="166"/>
      <c r="AL25" s="166">
        <v>9.8009716358523953</v>
      </c>
      <c r="AM25" s="166">
        <v>9.7159476243676277</v>
      </c>
      <c r="AN25" s="166">
        <v>10.649522310795193</v>
      </c>
      <c r="AO25" s="166">
        <v>11.374951812300438</v>
      </c>
      <c r="AP25" s="165">
        <v>12.659929602733092</v>
      </c>
      <c r="AQ25" s="73" t="str">
        <f t="shared" si="32"/>
        <v>30-34</v>
      </c>
      <c r="AR25" s="166">
        <v>129.43499839649661</v>
      </c>
      <c r="AS25" s="166">
        <v>136.9352629977399</v>
      </c>
      <c r="AT25" s="166">
        <v>146.86710652195967</v>
      </c>
      <c r="AU25" s="166">
        <v>156.94682694538284</v>
      </c>
      <c r="AV25" s="165">
        <v>178.67283171568567</v>
      </c>
      <c r="AW25" s="166"/>
      <c r="AX25" s="166">
        <v>126.08382142150504</v>
      </c>
      <c r="AY25" s="166">
        <v>133.38988826824271</v>
      </c>
      <c r="AZ25" s="166">
        <v>143.06466319041809</v>
      </c>
      <c r="BA25" s="166">
        <v>152.88342672901697</v>
      </c>
      <c r="BB25" s="165">
        <v>174.04687249714561</v>
      </c>
      <c r="BC25" s="166"/>
      <c r="BD25" s="166">
        <v>3.3511769749915721</v>
      </c>
      <c r="BE25" s="166">
        <v>3.5453747294971758</v>
      </c>
      <c r="BF25" s="166">
        <v>3.8024433315415691</v>
      </c>
      <c r="BG25" s="166">
        <v>4.0634002163658671</v>
      </c>
      <c r="BH25" s="165">
        <v>4.625959218540066</v>
      </c>
    </row>
    <row r="26" spans="1:60">
      <c r="A26" s="73" t="str">
        <f>$A$12</f>
        <v>35-39</v>
      </c>
      <c r="B26" s="166">
        <v>81.570107580789099</v>
      </c>
      <c r="C26" s="166">
        <v>83.089506586868126</v>
      </c>
      <c r="D26" s="166">
        <v>69.396955766521813</v>
      </c>
      <c r="E26" s="166">
        <v>57.477476782623199</v>
      </c>
      <c r="F26" s="165">
        <v>45.376437261099497</v>
      </c>
      <c r="G26" s="166"/>
      <c r="H26" s="166">
        <v>27.823839481647656</v>
      </c>
      <c r="I26" s="166">
        <v>28.342149363665129</v>
      </c>
      <c r="J26" s="166">
        <v>23.671532314933994</v>
      </c>
      <c r="K26" s="166">
        <v>19.605797942974593</v>
      </c>
      <c r="L26" s="165">
        <v>15.478099602590135</v>
      </c>
      <c r="M26" s="166"/>
      <c r="N26" s="166">
        <v>53.746268099141446</v>
      </c>
      <c r="O26" s="166">
        <v>54.747357223203004</v>
      </c>
      <c r="P26" s="166">
        <v>45.725423451587815</v>
      </c>
      <c r="Q26" s="166">
        <v>37.871678839648609</v>
      </c>
      <c r="R26" s="165">
        <v>29.898337658509362</v>
      </c>
      <c r="S26" s="166"/>
      <c r="T26" s="166">
        <v>0</v>
      </c>
      <c r="U26" s="166">
        <v>0</v>
      </c>
      <c r="V26" s="166">
        <v>0</v>
      </c>
      <c r="W26" s="166">
        <v>0</v>
      </c>
      <c r="X26" s="165">
        <v>0</v>
      </c>
      <c r="Y26" s="73" t="str">
        <f>$A$12</f>
        <v>35-39</v>
      </c>
      <c r="Z26" s="166">
        <v>172.87314170144836</v>
      </c>
      <c r="AA26" s="166">
        <v>151.81746175182639</v>
      </c>
      <c r="AB26" s="166">
        <v>156.19921187888309</v>
      </c>
      <c r="AC26" s="166">
        <v>170.06847351368867</v>
      </c>
      <c r="AD26" s="165">
        <v>183.91916269923121</v>
      </c>
      <c r="AE26" s="166"/>
      <c r="AF26" s="166">
        <v>162.99555148006215</v>
      </c>
      <c r="AG26" s="166">
        <v>143.14291162441359</v>
      </c>
      <c r="AH26" s="166">
        <v>147.27436031165053</v>
      </c>
      <c r="AI26" s="166">
        <v>160.35109660117249</v>
      </c>
      <c r="AJ26" s="165">
        <v>173.41038032330772</v>
      </c>
      <c r="AK26" s="166"/>
      <c r="AL26" s="166">
        <v>9.8775902213862175</v>
      </c>
      <c r="AM26" s="166">
        <v>8.6745501274128145</v>
      </c>
      <c r="AN26" s="166">
        <v>8.9248515672325688</v>
      </c>
      <c r="AO26" s="166">
        <v>9.7173769125161513</v>
      </c>
      <c r="AP26" s="165">
        <v>10.508782375923495</v>
      </c>
      <c r="AQ26" s="73" t="str">
        <f t="shared" si="32"/>
        <v>35-39</v>
      </c>
      <c r="AR26" s="166">
        <v>130.84375071776253</v>
      </c>
      <c r="AS26" s="166">
        <v>143.10303166130547</v>
      </c>
      <c r="AT26" s="166">
        <v>145.7508323545951</v>
      </c>
      <c r="AU26" s="166">
        <v>161.80904970368815</v>
      </c>
      <c r="AV26" s="165">
        <v>178.15540003966933</v>
      </c>
      <c r="AW26" s="166"/>
      <c r="AX26" s="166">
        <v>127.60652595957404</v>
      </c>
      <c r="AY26" s="166">
        <v>139.56251449676819</v>
      </c>
      <c r="AZ26" s="166">
        <v>142.14475173688641</v>
      </c>
      <c r="BA26" s="166">
        <v>157.80566912987618</v>
      </c>
      <c r="BB26" s="165">
        <v>173.74761952873018</v>
      </c>
      <c r="BC26" s="166"/>
      <c r="BD26" s="166">
        <v>3.237224758188491</v>
      </c>
      <c r="BE26" s="166">
        <v>3.5405171645372788</v>
      </c>
      <c r="BF26" s="166">
        <v>3.6060806177086793</v>
      </c>
      <c r="BG26" s="166">
        <v>4.003380573811949</v>
      </c>
      <c r="BH26" s="165">
        <v>4.4077805109391317</v>
      </c>
    </row>
    <row r="27" spans="1:60">
      <c r="A27" s="73" t="str">
        <f>$A$13</f>
        <v>40-44</v>
      </c>
      <c r="B27" s="166">
        <v>109.36258023994721</v>
      </c>
      <c r="C27" s="166">
        <v>100.65735353635027</v>
      </c>
      <c r="D27" s="166">
        <v>79.894996074335893</v>
      </c>
      <c r="E27" s="166">
        <v>58.266248681924139</v>
      </c>
      <c r="F27" s="165">
        <v>44.943691641188508</v>
      </c>
      <c r="G27" s="166"/>
      <c r="H27" s="166">
        <v>37.497201603751407</v>
      </c>
      <c r="I27" s="166">
        <v>34.512468517177361</v>
      </c>
      <c r="J27" s="166">
        <v>27.393678246007219</v>
      </c>
      <c r="K27" s="166">
        <v>19.977808097422283</v>
      </c>
      <c r="L27" s="165">
        <v>15.409876741628949</v>
      </c>
      <c r="M27" s="166"/>
      <c r="N27" s="166">
        <v>71.8653786361958</v>
      </c>
      <c r="O27" s="166">
        <v>66.144885019172918</v>
      </c>
      <c r="P27" s="166">
        <v>52.501317828328666</v>
      </c>
      <c r="Q27" s="166">
        <v>38.288440584501856</v>
      </c>
      <c r="R27" s="165">
        <v>29.533814899559559</v>
      </c>
      <c r="S27" s="166"/>
      <c r="T27" s="166">
        <v>0</v>
      </c>
      <c r="U27" s="166">
        <v>0</v>
      </c>
      <c r="V27" s="166">
        <v>0</v>
      </c>
      <c r="W27" s="166">
        <v>0</v>
      </c>
      <c r="X27" s="165">
        <v>0</v>
      </c>
      <c r="Y27" s="73" t="str">
        <f>$A$13</f>
        <v>40-44</v>
      </c>
      <c r="Z27" s="166">
        <v>173.78731454334542</v>
      </c>
      <c r="AA27" s="166">
        <v>163.77527356450886</v>
      </c>
      <c r="AB27" s="166">
        <v>162.60647900072252</v>
      </c>
      <c r="AC27" s="166">
        <v>166.47427183086532</v>
      </c>
      <c r="AD27" s="165">
        <v>181.69643068872716</v>
      </c>
      <c r="AE27" s="166"/>
      <c r="AF27" s="166">
        <v>165.32689297611799</v>
      </c>
      <c r="AG27" s="166">
        <v>155.80222756557217</v>
      </c>
      <c r="AH27" s="166">
        <v>154.69035923872957</v>
      </c>
      <c r="AI27" s="166">
        <v>158.36986274844344</v>
      </c>
      <c r="AJ27" s="165">
        <v>172.85093659793318</v>
      </c>
      <c r="AK27" s="166"/>
      <c r="AL27" s="166">
        <v>8.4604215672274528</v>
      </c>
      <c r="AM27" s="166">
        <v>7.9730459989366764</v>
      </c>
      <c r="AN27" s="166">
        <v>7.9161197619929249</v>
      </c>
      <c r="AO27" s="166">
        <v>8.1044090824218635</v>
      </c>
      <c r="AP27" s="165">
        <v>8.8454940907939719</v>
      </c>
      <c r="AQ27" s="73" t="str">
        <f t="shared" si="32"/>
        <v>40-44</v>
      </c>
      <c r="AR27" s="166">
        <v>128.62610521670734</v>
      </c>
      <c r="AS27" s="166">
        <v>136.39037289914091</v>
      </c>
      <c r="AT27" s="166">
        <v>148.07052492494154</v>
      </c>
      <c r="AU27" s="166">
        <v>154.31647948721056</v>
      </c>
      <c r="AV27" s="165">
        <v>171.30987767008435</v>
      </c>
      <c r="AW27" s="166"/>
      <c r="AX27" s="166">
        <v>125.76772964125814</v>
      </c>
      <c r="AY27" s="166">
        <v>133.35947800784845</v>
      </c>
      <c r="AZ27" s="166">
        <v>144.78005921667193</v>
      </c>
      <c r="BA27" s="166">
        <v>150.88727091047099</v>
      </c>
      <c r="BB27" s="165">
        <v>167.50296624498654</v>
      </c>
      <c r="BC27" s="166"/>
      <c r="BD27" s="166">
        <v>2.8583755754492008</v>
      </c>
      <c r="BE27" s="166">
        <v>3.030894891292423</v>
      </c>
      <c r="BF27" s="166">
        <v>3.2904657082695943</v>
      </c>
      <c r="BG27" s="166">
        <v>3.4292085767395757</v>
      </c>
      <c r="BH27" s="165">
        <v>3.8069114250978413</v>
      </c>
    </row>
    <row r="28" spans="1:60">
      <c r="A28" s="73" t="str">
        <f>$A$14</f>
        <v>45-49</v>
      </c>
      <c r="B28" s="166">
        <v>133.05883203982552</v>
      </c>
      <c r="C28" s="166">
        <v>130.62922404585686</v>
      </c>
      <c r="D28" s="166">
        <v>99.593963362259984</v>
      </c>
      <c r="E28" s="166">
        <v>77.436632042573009</v>
      </c>
      <c r="F28" s="165">
        <v>59.492715137111858</v>
      </c>
      <c r="G28" s="166"/>
      <c r="H28" s="166">
        <v>45.027200591392536</v>
      </c>
      <c r="I28" s="166">
        <v>44.204981813015024</v>
      </c>
      <c r="J28" s="166">
        <v>33.702642640591492</v>
      </c>
      <c r="K28" s="166">
        <v>26.204594261379921</v>
      </c>
      <c r="L28" s="165">
        <v>20.132393786098973</v>
      </c>
      <c r="M28" s="166"/>
      <c r="N28" s="166">
        <v>88.031631448432989</v>
      </c>
      <c r="O28" s="166">
        <v>86.424242232841848</v>
      </c>
      <c r="P28" s="166">
        <v>65.891320721668478</v>
      </c>
      <c r="Q28" s="166">
        <v>51.232037781193085</v>
      </c>
      <c r="R28" s="165">
        <v>39.360321351012892</v>
      </c>
      <c r="S28" s="166"/>
      <c r="T28" s="166">
        <v>0</v>
      </c>
      <c r="U28" s="166">
        <v>0</v>
      </c>
      <c r="V28" s="166">
        <v>0</v>
      </c>
      <c r="W28" s="166">
        <v>0</v>
      </c>
      <c r="X28" s="165">
        <v>0</v>
      </c>
      <c r="Y28" s="73" t="str">
        <f>$A$14</f>
        <v>45-49</v>
      </c>
      <c r="Z28" s="166">
        <v>147.70040930140374</v>
      </c>
      <c r="AA28" s="166">
        <v>150.78309476094216</v>
      </c>
      <c r="AB28" s="166">
        <v>165.92406107867228</v>
      </c>
      <c r="AC28" s="166">
        <v>170.02775905499576</v>
      </c>
      <c r="AD28" s="165">
        <v>173.29143493241449</v>
      </c>
      <c r="AE28" s="166"/>
      <c r="AF28" s="166">
        <v>141.54694322175274</v>
      </c>
      <c r="AG28" s="166">
        <v>144.50116492117996</v>
      </c>
      <c r="AH28" s="166">
        <v>159.01136074679223</v>
      </c>
      <c r="AI28" s="166">
        <v>162.94414401206637</v>
      </c>
      <c r="AJ28" s="165">
        <v>166.07180166684751</v>
      </c>
      <c r="AK28" s="166"/>
      <c r="AL28" s="166">
        <v>6.1534660796509844</v>
      </c>
      <c r="AM28" s="166">
        <v>6.2819298397621735</v>
      </c>
      <c r="AN28" s="166">
        <v>6.9127003318800542</v>
      </c>
      <c r="AO28" s="166">
        <v>7.0836150429293721</v>
      </c>
      <c r="AP28" s="165">
        <v>7.2196332655670084</v>
      </c>
      <c r="AQ28" s="73" t="str">
        <f t="shared" si="32"/>
        <v>45-49</v>
      </c>
      <c r="AR28" s="166">
        <v>123.31275865877076</v>
      </c>
      <c r="AS28" s="166">
        <v>132.41368119320103</v>
      </c>
      <c r="AT28" s="166">
        <v>140.53797555906777</v>
      </c>
      <c r="AU28" s="166">
        <v>145.28260890243126</v>
      </c>
      <c r="AV28" s="165">
        <v>149.41884993047367</v>
      </c>
      <c r="AW28" s="166"/>
      <c r="AX28" s="166">
        <v>120.05066515719325</v>
      </c>
      <c r="AY28" s="166">
        <v>128.91090449693274</v>
      </c>
      <c r="AZ28" s="166">
        <v>136.82028565996129</v>
      </c>
      <c r="BA28" s="166">
        <v>141.4394248982336</v>
      </c>
      <c r="BB28" s="165">
        <v>145.46618310656098</v>
      </c>
      <c r="BC28" s="166"/>
      <c r="BD28" s="166">
        <v>3.2620935015775157</v>
      </c>
      <c r="BE28" s="166">
        <v>3.5027766962682798</v>
      </c>
      <c r="BF28" s="166">
        <v>3.7176898991064919</v>
      </c>
      <c r="BG28" s="166">
        <v>3.8431840041976795</v>
      </c>
      <c r="BH28" s="165">
        <v>3.952666823912681</v>
      </c>
    </row>
    <row r="29" spans="1:60">
      <c r="A29" s="73" t="str">
        <f>$A$15</f>
        <v>50-54</v>
      </c>
      <c r="B29" s="166">
        <v>142.62528866518252</v>
      </c>
      <c r="C29" s="166">
        <v>144.67879652164194</v>
      </c>
      <c r="D29" s="166">
        <v>129.89288976403338</v>
      </c>
      <c r="E29" s="166">
        <v>108.5906384249285</v>
      </c>
      <c r="F29" s="165">
        <v>88.797023806023716</v>
      </c>
      <c r="G29" s="166"/>
      <c r="H29" s="166">
        <v>58.809677206890292</v>
      </c>
      <c r="I29" s="166">
        <v>59.656444402939428</v>
      </c>
      <c r="J29" s="166">
        <v>53.559622114055813</v>
      </c>
      <c r="K29" s="166">
        <v>44.77589197427843</v>
      </c>
      <c r="L29" s="165">
        <v>36.614290916009523</v>
      </c>
      <c r="M29" s="166"/>
      <c r="N29" s="166">
        <v>83.815611458292224</v>
      </c>
      <c r="O29" s="166">
        <v>85.022352118702528</v>
      </c>
      <c r="P29" s="166">
        <v>76.333267649977572</v>
      </c>
      <c r="Q29" s="166">
        <v>63.814746450650077</v>
      </c>
      <c r="R29" s="165">
        <v>52.182732890014194</v>
      </c>
      <c r="S29" s="166"/>
      <c r="T29" s="166">
        <v>0</v>
      </c>
      <c r="U29" s="166">
        <v>0</v>
      </c>
      <c r="V29" s="166">
        <v>0</v>
      </c>
      <c r="W29" s="166">
        <v>0</v>
      </c>
      <c r="X29" s="165">
        <v>0</v>
      </c>
      <c r="Y29" s="73" t="str">
        <f>$A$15</f>
        <v>50-54</v>
      </c>
      <c r="Z29" s="166">
        <v>128.12433076039389</v>
      </c>
      <c r="AA29" s="166">
        <v>131.63132793945925</v>
      </c>
      <c r="AB29" s="166">
        <v>150.56527705284162</v>
      </c>
      <c r="AC29" s="166">
        <v>157.47681805010433</v>
      </c>
      <c r="AD29" s="165">
        <v>161.81424705237774</v>
      </c>
      <c r="AE29" s="166"/>
      <c r="AF29" s="166">
        <v>122.55278649675924</v>
      </c>
      <c r="AG29" s="166">
        <v>125.90722170135525</v>
      </c>
      <c r="AH29" s="166">
        <v>144.01786562915689</v>
      </c>
      <c r="AI29" s="166">
        <v>150.62881683229153</v>
      </c>
      <c r="AJ29" s="165">
        <v>154.77764225506792</v>
      </c>
      <c r="AK29" s="166"/>
      <c r="AL29" s="166">
        <v>5.5715442636346637</v>
      </c>
      <c r="AM29" s="166">
        <v>5.7241062381040022</v>
      </c>
      <c r="AN29" s="166">
        <v>6.5474114236847223</v>
      </c>
      <c r="AO29" s="166">
        <v>6.848001217812798</v>
      </c>
      <c r="AP29" s="165">
        <v>7.0366047973098143</v>
      </c>
      <c r="AQ29" s="73" t="str">
        <f t="shared" si="32"/>
        <v>50-54</v>
      </c>
      <c r="AR29" s="166">
        <v>99.533380574423589</v>
      </c>
      <c r="AS29" s="166">
        <v>107.85887553889877</v>
      </c>
      <c r="AT29" s="166">
        <v>131.66083318312499</v>
      </c>
      <c r="AU29" s="166">
        <v>136.99154352496717</v>
      </c>
      <c r="AV29" s="165">
        <v>140.23672914159854</v>
      </c>
      <c r="AW29" s="166"/>
      <c r="AX29" s="166">
        <v>96.536032850777929</v>
      </c>
      <c r="AY29" s="166">
        <v>104.61089167560138</v>
      </c>
      <c r="AZ29" s="166">
        <v>127.6960784524572</v>
      </c>
      <c r="BA29" s="166">
        <v>132.86627000855998</v>
      </c>
      <c r="BB29" s="165">
        <v>136.01369492085831</v>
      </c>
      <c r="BC29" s="166"/>
      <c r="BD29" s="166">
        <v>2.9973477236456505</v>
      </c>
      <c r="BE29" s="166">
        <v>3.2479838632974087</v>
      </c>
      <c r="BF29" s="166">
        <v>3.9647547306677895</v>
      </c>
      <c r="BG29" s="166">
        <v>4.1252735164071801</v>
      </c>
      <c r="BH29" s="165">
        <v>4.2230342207402218</v>
      </c>
    </row>
    <row r="30" spans="1:60">
      <c r="A30" s="73" t="str">
        <f>$A$16</f>
        <v>55-59</v>
      </c>
      <c r="B30" s="166">
        <v>142.02345355885194</v>
      </c>
      <c r="C30" s="166">
        <v>143.44952230302076</v>
      </c>
      <c r="D30" s="166">
        <v>139.14959212331905</v>
      </c>
      <c r="E30" s="166">
        <v>133.10606492478584</v>
      </c>
      <c r="F30" s="165">
        <v>109.14650779855604</v>
      </c>
      <c r="G30" s="166"/>
      <c r="H30" s="166">
        <v>65.471577847382605</v>
      </c>
      <c r="I30" s="166">
        <v>66.128938994656224</v>
      </c>
      <c r="J30" s="166">
        <v>64.146760401718026</v>
      </c>
      <c r="K30" s="166">
        <v>61.360743377948751</v>
      </c>
      <c r="L30" s="165">
        <v>50.315564885494574</v>
      </c>
      <c r="M30" s="166"/>
      <c r="N30" s="166">
        <v>76.551875711469307</v>
      </c>
      <c r="O30" s="166">
        <v>77.320583308364533</v>
      </c>
      <c r="P30" s="166">
        <v>75.002831721601012</v>
      </c>
      <c r="Q30" s="166">
        <v>71.74532154683709</v>
      </c>
      <c r="R30" s="165">
        <v>58.830942913061456</v>
      </c>
      <c r="S30" s="166"/>
      <c r="T30" s="166">
        <v>0</v>
      </c>
      <c r="U30" s="166">
        <v>0</v>
      </c>
      <c r="V30" s="166">
        <v>0</v>
      </c>
      <c r="W30" s="166">
        <v>0</v>
      </c>
      <c r="X30" s="165">
        <v>0</v>
      </c>
      <c r="Y30" s="73" t="str">
        <f>$A$16</f>
        <v>55-59</v>
      </c>
      <c r="Z30" s="166">
        <v>109.05588764571488</v>
      </c>
      <c r="AA30" s="166">
        <v>103.02668159053177</v>
      </c>
      <c r="AB30" s="166">
        <v>125.61808852626254</v>
      </c>
      <c r="AC30" s="166">
        <v>146.63086089061352</v>
      </c>
      <c r="AD30" s="165">
        <v>154.81770782548793</v>
      </c>
      <c r="AE30" s="166"/>
      <c r="AF30" s="166">
        <v>103.75944425598405</v>
      </c>
      <c r="AG30" s="166">
        <v>98.023014500202649</v>
      </c>
      <c r="AH30" s="166">
        <v>119.51727296970975</v>
      </c>
      <c r="AI30" s="166">
        <v>139.509472215926</v>
      </c>
      <c r="AJ30" s="165">
        <v>147.29874653579841</v>
      </c>
      <c r="AK30" s="166"/>
      <c r="AL30" s="166">
        <v>5.296443389730813</v>
      </c>
      <c r="AM30" s="166">
        <v>5.0036670903291043</v>
      </c>
      <c r="AN30" s="166">
        <v>6.1008155565527895</v>
      </c>
      <c r="AO30" s="166">
        <v>7.1213886746875295</v>
      </c>
      <c r="AP30" s="165">
        <v>7.5189612896894937</v>
      </c>
      <c r="AQ30" s="73" t="str">
        <f t="shared" si="32"/>
        <v>55-59</v>
      </c>
      <c r="AR30" s="166">
        <v>86.859658795433134</v>
      </c>
      <c r="AS30" s="166">
        <v>96.998796106447443</v>
      </c>
      <c r="AT30" s="166">
        <v>110.9803193504184</v>
      </c>
      <c r="AU30" s="166">
        <v>123.37107418460066</v>
      </c>
      <c r="AV30" s="165">
        <v>131.50178437595608</v>
      </c>
      <c r="AW30" s="166"/>
      <c r="AX30" s="166">
        <v>84.146035314499002</v>
      </c>
      <c r="AY30" s="166">
        <v>93.968368312463639</v>
      </c>
      <c r="AZ30" s="166">
        <v>107.5131451192468</v>
      </c>
      <c r="BA30" s="166">
        <v>119.51673817354288</v>
      </c>
      <c r="BB30" s="165">
        <v>127.3934508351265</v>
      </c>
      <c r="BC30" s="166"/>
      <c r="BD30" s="166">
        <v>2.7136234809341366</v>
      </c>
      <c r="BE30" s="166">
        <v>3.030427793983804</v>
      </c>
      <c r="BF30" s="166">
        <v>3.4671742311715938</v>
      </c>
      <c r="BG30" s="166">
        <v>3.8543360110577858</v>
      </c>
      <c r="BH30" s="165">
        <v>4.1083335408295882</v>
      </c>
    </row>
    <row r="31" spans="1:60">
      <c r="A31" s="73" t="str">
        <f>$A$17</f>
        <v>60-64</v>
      </c>
      <c r="B31" s="166">
        <v>135.20871159850742</v>
      </c>
      <c r="C31" s="166">
        <v>139.14227803640441</v>
      </c>
      <c r="D31" s="166">
        <v>130.14619876262617</v>
      </c>
      <c r="E31" s="166">
        <v>116.92965912610188</v>
      </c>
      <c r="F31" s="165">
        <v>97.821165625616288</v>
      </c>
      <c r="G31" s="166"/>
      <c r="H31" s="166">
        <v>70.289274754240722</v>
      </c>
      <c r="I31" s="166">
        <v>72.334142210216811</v>
      </c>
      <c r="J31" s="166">
        <v>67.657493952962056</v>
      </c>
      <c r="K31" s="166">
        <v>60.786778379352796</v>
      </c>
      <c r="L31" s="165">
        <v>50.853075153050249</v>
      </c>
      <c r="M31" s="166"/>
      <c r="N31" s="166">
        <v>64.919436844266713</v>
      </c>
      <c r="O31" s="166">
        <v>66.808135826187581</v>
      </c>
      <c r="P31" s="166">
        <v>62.488704809664121</v>
      </c>
      <c r="Q31" s="166">
        <v>56.142880746749078</v>
      </c>
      <c r="R31" s="165">
        <v>46.968090472566033</v>
      </c>
      <c r="S31" s="166"/>
      <c r="T31" s="166">
        <v>0</v>
      </c>
      <c r="U31" s="166">
        <v>0</v>
      </c>
      <c r="V31" s="166">
        <v>0</v>
      </c>
      <c r="W31" s="166">
        <v>0</v>
      </c>
      <c r="X31" s="165">
        <v>0</v>
      </c>
      <c r="Y31" s="73" t="str">
        <f>$A$17</f>
        <v>60-64</v>
      </c>
      <c r="Z31" s="166">
        <v>86.312916170074814</v>
      </c>
      <c r="AA31" s="166">
        <v>87.978682675397692</v>
      </c>
      <c r="AB31" s="166">
        <v>102.45961005200583</v>
      </c>
      <c r="AC31" s="166">
        <v>124.91232684164649</v>
      </c>
      <c r="AD31" s="165">
        <v>146.90533839921289</v>
      </c>
      <c r="AE31" s="166"/>
      <c r="AF31" s="166">
        <v>82.494145323393639</v>
      </c>
      <c r="AG31" s="166">
        <v>84.086253978523061</v>
      </c>
      <c r="AH31" s="166">
        <v>97.926456664959204</v>
      </c>
      <c r="AI31" s="166">
        <v>119.38584315305835</v>
      </c>
      <c r="AJ31" s="165">
        <v>140.40583035374158</v>
      </c>
      <c r="AK31" s="166"/>
      <c r="AL31" s="166">
        <v>3.8187708466811769</v>
      </c>
      <c r="AM31" s="166">
        <v>3.8924286968746324</v>
      </c>
      <c r="AN31" s="166">
        <v>4.533153387046621</v>
      </c>
      <c r="AO31" s="166">
        <v>5.5264836885881472</v>
      </c>
      <c r="AP31" s="165">
        <v>6.4995080454712904</v>
      </c>
      <c r="AQ31" s="73" t="str">
        <f t="shared" si="32"/>
        <v>60-64</v>
      </c>
      <c r="AR31" s="166">
        <v>67.855372231417789</v>
      </c>
      <c r="AS31" s="166">
        <v>83.945039288197918</v>
      </c>
      <c r="AT31" s="166">
        <v>95.468191185367971</v>
      </c>
      <c r="AU31" s="166">
        <v>119.10401403225165</v>
      </c>
      <c r="AV31" s="165">
        <v>144.11749597517081</v>
      </c>
      <c r="AW31" s="166"/>
      <c r="AX31" s="166">
        <v>65.304426563134072</v>
      </c>
      <c r="AY31" s="166">
        <v>80.789147061586561</v>
      </c>
      <c r="AZ31" s="166">
        <v>91.879108865414764</v>
      </c>
      <c r="BA31" s="166">
        <v>114.62635921396409</v>
      </c>
      <c r="BB31" s="165">
        <v>138.69950783520864</v>
      </c>
      <c r="BC31" s="166"/>
      <c r="BD31" s="166">
        <v>2.5509456682837173</v>
      </c>
      <c r="BE31" s="166">
        <v>3.1558922266113782</v>
      </c>
      <c r="BF31" s="166">
        <v>3.5890823199532207</v>
      </c>
      <c r="BG31" s="166">
        <v>4.4776548182875615</v>
      </c>
      <c r="BH31" s="165">
        <v>5.4179881399621461</v>
      </c>
    </row>
    <row r="32" spans="1:60">
      <c r="A32" s="73" t="str">
        <f>$A$18</f>
        <v>65+</v>
      </c>
      <c r="B32" s="166">
        <v>413.27348346987924</v>
      </c>
      <c r="C32" s="166">
        <v>413.22199816727857</v>
      </c>
      <c r="D32" s="166">
        <v>382.42661647142006</v>
      </c>
      <c r="E32" s="166">
        <v>344.26916975565996</v>
      </c>
      <c r="F32" s="165">
        <v>299.66486973953153</v>
      </c>
      <c r="G32" s="166"/>
      <c r="H32" s="166">
        <v>280.86103102264485</v>
      </c>
      <c r="I32" s="166">
        <v>280.82599650665259</v>
      </c>
      <c r="J32" s="166">
        <v>259.89747790143747</v>
      </c>
      <c r="K32" s="166">
        <v>233.96563126418033</v>
      </c>
      <c r="L32" s="165">
        <v>203.65250932991842</v>
      </c>
      <c r="M32" s="166"/>
      <c r="N32" s="166">
        <v>132.41245244723444</v>
      </c>
      <c r="O32" s="166">
        <v>132.39600166062604</v>
      </c>
      <c r="P32" s="166">
        <v>122.52913856998256</v>
      </c>
      <c r="Q32" s="166">
        <v>110.30353849147959</v>
      </c>
      <c r="R32" s="165">
        <v>96.012360409613152</v>
      </c>
      <c r="S32" s="166"/>
      <c r="T32" s="166">
        <v>0</v>
      </c>
      <c r="U32" s="166">
        <v>0</v>
      </c>
      <c r="V32" s="166">
        <v>0</v>
      </c>
      <c r="W32" s="166">
        <v>0</v>
      </c>
      <c r="X32" s="165">
        <v>0</v>
      </c>
      <c r="Y32" s="73" t="str">
        <f>$A$18</f>
        <v>65+</v>
      </c>
      <c r="Z32" s="166">
        <v>183.28798651698779</v>
      </c>
      <c r="AA32" s="166">
        <v>198.84833199585475</v>
      </c>
      <c r="AB32" s="166">
        <v>264.78812722486305</v>
      </c>
      <c r="AC32" s="166">
        <v>324.20846857729254</v>
      </c>
      <c r="AD32" s="165">
        <v>390.52526772257721</v>
      </c>
      <c r="AE32" s="166"/>
      <c r="AF32" s="166">
        <v>175.04417159553057</v>
      </c>
      <c r="AG32" s="166">
        <v>189.90464961003784</v>
      </c>
      <c r="AH32" s="166">
        <v>252.8787207130141</v>
      </c>
      <c r="AI32" s="166">
        <v>309.62643682093773</v>
      </c>
      <c r="AJ32" s="165">
        <v>372.96056409867555</v>
      </c>
      <c r="AK32" s="166"/>
      <c r="AL32" s="166">
        <v>8.243814921457215</v>
      </c>
      <c r="AM32" s="166">
        <v>8.9436823858169294</v>
      </c>
      <c r="AN32" s="166">
        <v>11.909406511848935</v>
      </c>
      <c r="AO32" s="166">
        <v>14.582031756354773</v>
      </c>
      <c r="AP32" s="165">
        <v>17.564703623901661</v>
      </c>
      <c r="AQ32" s="73" t="str">
        <f t="shared" si="32"/>
        <v>65+</v>
      </c>
      <c r="AR32" s="166">
        <v>164.37253001313297</v>
      </c>
      <c r="AS32" s="166">
        <v>172.14466983686671</v>
      </c>
      <c r="AT32" s="166">
        <v>232.36725630371686</v>
      </c>
      <c r="AU32" s="166">
        <v>309.43936166704759</v>
      </c>
      <c r="AV32" s="165">
        <v>407.37086253789136</v>
      </c>
      <c r="AW32" s="166"/>
      <c r="AX32" s="166">
        <v>157.65906224959758</v>
      </c>
      <c r="AY32" s="166">
        <v>165.11377610213441</v>
      </c>
      <c r="AZ32" s="166">
        <v>222.87664185404887</v>
      </c>
      <c r="BA32" s="166">
        <v>296.80092091622549</v>
      </c>
      <c r="BB32" s="165">
        <v>390.73259978076936</v>
      </c>
      <c r="BC32" s="166"/>
      <c r="BD32" s="166">
        <v>6.7134677635354318</v>
      </c>
      <c r="BE32" s="166">
        <v>7.0308937347323051</v>
      </c>
      <c r="BF32" s="166">
        <v>9.4906144496679747</v>
      </c>
      <c r="BG32" s="166">
        <v>12.63844075082217</v>
      </c>
      <c r="BH32" s="165">
        <v>16.638262757122035</v>
      </c>
    </row>
    <row r="33" spans="1:60">
      <c r="B33" s="166"/>
      <c r="C33" s="166"/>
      <c r="D33" s="166"/>
      <c r="E33" s="166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5"/>
      <c r="T33" s="76"/>
      <c r="U33" s="76"/>
      <c r="V33" s="76"/>
      <c r="W33" s="76"/>
      <c r="X33" s="76"/>
      <c r="Z33" s="166"/>
      <c r="AA33" s="166"/>
      <c r="AB33" s="166"/>
      <c r="AC33" s="166"/>
      <c r="AD33" s="165"/>
      <c r="AE33" s="165"/>
      <c r="AF33" s="165"/>
      <c r="AG33" s="165"/>
      <c r="AH33" s="165"/>
      <c r="AI33" s="165"/>
      <c r="AJ33" s="165"/>
      <c r="AK33" s="165"/>
      <c r="AL33" s="165"/>
      <c r="AM33" s="165"/>
      <c r="AN33" s="165"/>
      <c r="AO33" s="165"/>
      <c r="AP33" s="165"/>
      <c r="AR33" s="166"/>
      <c r="AS33" s="166"/>
      <c r="AT33" s="166"/>
      <c r="AU33" s="166"/>
      <c r="AV33" s="165"/>
      <c r="AW33" s="165"/>
      <c r="AX33" s="165"/>
      <c r="AY33" s="165"/>
      <c r="AZ33" s="165"/>
      <c r="BA33" s="165"/>
      <c r="BB33" s="165"/>
      <c r="BC33" s="165"/>
      <c r="BD33" s="165"/>
      <c r="BE33" s="165"/>
      <c r="BF33" s="165"/>
      <c r="BG33" s="165"/>
      <c r="BH33" s="165"/>
    </row>
    <row r="34" spans="1:60">
      <c r="A34" s="96" t="s">
        <v>158</v>
      </c>
      <c r="B34" s="166"/>
      <c r="C34" s="166"/>
      <c r="D34" s="166"/>
      <c r="E34" s="166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165"/>
      <c r="T34" s="76"/>
      <c r="U34" s="76"/>
      <c r="V34" s="76"/>
      <c r="W34" s="76"/>
      <c r="X34" s="76"/>
      <c r="Y34" s="96" t="str">
        <f>A34</f>
        <v>Females</v>
      </c>
      <c r="Z34" s="76"/>
      <c r="AA34" s="76"/>
      <c r="AB34" s="76"/>
      <c r="AC34" s="76"/>
      <c r="AD34" s="165"/>
      <c r="AE34" s="165"/>
      <c r="AF34" s="165"/>
      <c r="AG34" s="165"/>
      <c r="AH34" s="165"/>
      <c r="AI34" s="165"/>
      <c r="AJ34" s="165"/>
      <c r="AK34" s="165"/>
      <c r="AL34" s="165"/>
      <c r="AM34" s="165"/>
      <c r="AN34" s="165"/>
      <c r="AO34" s="165"/>
      <c r="AP34" s="165"/>
      <c r="AQ34" s="96" t="str">
        <f>A34</f>
        <v>Females</v>
      </c>
      <c r="AR34" s="76"/>
      <c r="AS34" s="76"/>
      <c r="AT34" s="76"/>
      <c r="AU34" s="76"/>
      <c r="AV34" s="165"/>
      <c r="AW34" s="165"/>
      <c r="AX34" s="165"/>
      <c r="AY34" s="165"/>
      <c r="AZ34" s="165"/>
      <c r="BA34" s="165"/>
      <c r="BB34" s="165"/>
      <c r="BC34" s="165"/>
      <c r="BD34" s="165"/>
      <c r="BE34" s="165"/>
      <c r="BF34" s="165"/>
      <c r="BG34" s="165"/>
      <c r="BH34" s="165"/>
    </row>
    <row r="35" spans="1:60">
      <c r="A35" s="73" t="str">
        <f>$A$7</f>
        <v>15+</v>
      </c>
      <c r="B35" s="166">
        <f>SUM(B36:B46)</f>
        <v>1839.2166575000715</v>
      </c>
      <c r="C35" s="166">
        <f t="shared" ref="C35:F35" si="33">SUM(C36:C46)</f>
        <v>1786.0603742980511</v>
      </c>
      <c r="D35" s="166">
        <f t="shared" si="33"/>
        <v>1572.103997262989</v>
      </c>
      <c r="E35" s="166">
        <f t="shared" si="33"/>
        <v>1350.9626109662327</v>
      </c>
      <c r="F35" s="166">
        <f t="shared" si="33"/>
        <v>1143.3207917146487</v>
      </c>
      <c r="G35" s="165"/>
      <c r="H35" s="166">
        <f>SUM(H36:H46)</f>
        <v>963.2794859618532</v>
      </c>
      <c r="I35" s="166">
        <f t="shared" ref="I35:L35" si="34">SUM(I36:I46)</f>
        <v>932.67382880597597</v>
      </c>
      <c r="J35" s="166">
        <f t="shared" si="34"/>
        <v>822.41738994957336</v>
      </c>
      <c r="K35" s="166">
        <f t="shared" si="34"/>
        <v>699.51116772963974</v>
      </c>
      <c r="L35" s="166">
        <f t="shared" si="34"/>
        <v>576.46624793891874</v>
      </c>
      <c r="M35" s="165"/>
      <c r="N35" s="166">
        <f>SUM(N36:N46)</f>
        <v>875.93717153821831</v>
      </c>
      <c r="O35" s="166">
        <f t="shared" ref="O35:R35" si="35">SUM(O36:O46)</f>
        <v>853.38654549207513</v>
      </c>
      <c r="P35" s="166">
        <f t="shared" si="35"/>
        <v>749.68660731341538</v>
      </c>
      <c r="Q35" s="166">
        <f t="shared" si="35"/>
        <v>651.45144323659315</v>
      </c>
      <c r="R35" s="166">
        <f t="shared" si="35"/>
        <v>566.85454377573012</v>
      </c>
      <c r="S35" s="165"/>
      <c r="T35" s="166">
        <f>SUM(T36:T46)</f>
        <v>0</v>
      </c>
      <c r="U35" s="166">
        <f t="shared" ref="U35:X35" si="36">SUM(U36:U46)</f>
        <v>0</v>
      </c>
      <c r="V35" s="166">
        <f t="shared" si="36"/>
        <v>0</v>
      </c>
      <c r="W35" s="166">
        <f t="shared" si="36"/>
        <v>0</v>
      </c>
      <c r="X35" s="166">
        <f t="shared" si="36"/>
        <v>0</v>
      </c>
      <c r="Y35" s="73" t="str">
        <f>$A$7</f>
        <v>15+</v>
      </c>
      <c r="Z35" s="166">
        <f>SUM(Z36:Z46)</f>
        <v>1514.4894356563314</v>
      </c>
      <c r="AA35" s="166">
        <f t="shared" ref="AA35:AD35" si="37">SUM(AA36:AA46)</f>
        <v>1503.6765075089238</v>
      </c>
      <c r="AB35" s="166">
        <f t="shared" si="37"/>
        <v>1659.9026427502681</v>
      </c>
      <c r="AC35" s="166">
        <f t="shared" si="37"/>
        <v>1797.4464428451124</v>
      </c>
      <c r="AD35" s="166">
        <f t="shared" si="37"/>
        <v>1939.4301277122679</v>
      </c>
      <c r="AE35" s="166"/>
      <c r="AF35" s="166">
        <f>SUM(AF36:AF46)</f>
        <v>1427.6490102140683</v>
      </c>
      <c r="AG35" s="166">
        <f t="shared" ref="AG35:AJ35" si="38">SUM(AG36:AG46)</f>
        <v>1417.9494245743583</v>
      </c>
      <c r="AH35" s="166">
        <f t="shared" si="38"/>
        <v>1565.6898030959378</v>
      </c>
      <c r="AI35" s="166">
        <f t="shared" si="38"/>
        <v>1695.8037388732168</v>
      </c>
      <c r="AJ35" s="166">
        <f t="shared" si="38"/>
        <v>1830.7085872896366</v>
      </c>
      <c r="AK35" s="166"/>
      <c r="AL35" s="166">
        <f>SUM(AL36:AL46)</f>
        <v>86.840425442262955</v>
      </c>
      <c r="AM35" s="166">
        <f t="shared" ref="AM35:AP35" si="39">SUM(AM36:AM46)</f>
        <v>85.727082934565459</v>
      </c>
      <c r="AN35" s="166">
        <f t="shared" si="39"/>
        <v>94.212839654330281</v>
      </c>
      <c r="AO35" s="166">
        <f t="shared" si="39"/>
        <v>101.64270397189549</v>
      </c>
      <c r="AP35" s="166">
        <f t="shared" si="39"/>
        <v>108.72154042263139</v>
      </c>
      <c r="AQ35" s="73" t="str">
        <f>$A$7</f>
        <v>15+</v>
      </c>
      <c r="AR35" s="166">
        <f>SUM(AR36:AR46)</f>
        <v>1208.4819068435977</v>
      </c>
      <c r="AS35" s="166">
        <f t="shared" ref="AS35:AV35" si="40">SUM(AS36:AS46)</f>
        <v>1342.1641181930254</v>
      </c>
      <c r="AT35" s="166">
        <f t="shared" si="40"/>
        <v>1576.2403599867432</v>
      </c>
      <c r="AU35" s="166">
        <f t="shared" si="40"/>
        <v>1829.5899461886547</v>
      </c>
      <c r="AV35" s="166">
        <f t="shared" si="40"/>
        <v>2104.1100805730839</v>
      </c>
      <c r="AW35" s="166"/>
      <c r="AX35" s="166">
        <f>SUM(AX36:AX46)</f>
        <v>1195.8231128172695</v>
      </c>
      <c r="AY35" s="166">
        <f t="shared" ref="AY35:BB35" si="41">SUM(AY36:AY46)</f>
        <v>1327.9996346900398</v>
      </c>
      <c r="AZ35" s="166">
        <f t="shared" si="41"/>
        <v>1559.651180973065</v>
      </c>
      <c r="BA35" s="166">
        <f t="shared" si="41"/>
        <v>1810.1453176220125</v>
      </c>
      <c r="BB35" s="166">
        <f t="shared" si="41"/>
        <v>2081.5851755357075</v>
      </c>
      <c r="BC35" s="166"/>
      <c r="BD35" s="166">
        <f>SUM(BD36:BD46)</f>
        <v>12.658794026328057</v>
      </c>
      <c r="BE35" s="166">
        <f t="shared" ref="BE35:BH35" si="42">SUM(BE36:BE46)</f>
        <v>14.164483502985499</v>
      </c>
      <c r="BF35" s="166">
        <f t="shared" si="42"/>
        <v>16.589179013678287</v>
      </c>
      <c r="BG35" s="166">
        <f t="shared" si="42"/>
        <v>19.444628566642407</v>
      </c>
      <c r="BH35" s="166">
        <f t="shared" si="42"/>
        <v>22.524905037375824</v>
      </c>
    </row>
    <row r="36" spans="1:60">
      <c r="A36" s="73" t="str">
        <f>$A$8</f>
        <v>15-19</v>
      </c>
      <c r="B36" s="166">
        <v>235.75197725192589</v>
      </c>
      <c r="C36" s="166">
        <v>235.32459036047223</v>
      </c>
      <c r="D36" s="166">
        <v>224.52607187954138</v>
      </c>
      <c r="E36" s="166">
        <v>225.53877970723389</v>
      </c>
      <c r="F36" s="165">
        <v>243.72400964127928</v>
      </c>
      <c r="G36" s="165"/>
      <c r="H36" s="166">
        <v>48.983534945390808</v>
      </c>
      <c r="I36" s="166">
        <v>48.894690177294805</v>
      </c>
      <c r="J36" s="166">
        <v>46.651003976088816</v>
      </c>
      <c r="K36" s="166">
        <v>46.861405382749254</v>
      </c>
      <c r="L36" s="165">
        <v>50.639873799695991</v>
      </c>
      <c r="M36" s="165"/>
      <c r="N36" s="166">
        <v>186.76844230653509</v>
      </c>
      <c r="O36" s="166">
        <v>186.42990018317741</v>
      </c>
      <c r="P36" s="166">
        <v>177.87506790345256</v>
      </c>
      <c r="Q36" s="166">
        <v>178.67737432448465</v>
      </c>
      <c r="R36" s="165">
        <v>193.08413584158328</v>
      </c>
      <c r="S36" s="165"/>
      <c r="T36" s="166">
        <v>0</v>
      </c>
      <c r="U36" s="166">
        <v>0</v>
      </c>
      <c r="V36" s="166">
        <v>0</v>
      </c>
      <c r="W36" s="166">
        <v>0</v>
      </c>
      <c r="X36" s="165">
        <v>0</v>
      </c>
      <c r="Y36" s="73" t="str">
        <f>$A$8</f>
        <v>15-19</v>
      </c>
      <c r="Z36" s="166">
        <v>83.569879527684336</v>
      </c>
      <c r="AA36" s="166">
        <v>82.526656420969161</v>
      </c>
      <c r="AB36" s="166">
        <v>84.494484512367791</v>
      </c>
      <c r="AC36" s="166">
        <v>90.946079800349651</v>
      </c>
      <c r="AD36" s="165">
        <v>105.28765306859901</v>
      </c>
      <c r="AE36" s="165"/>
      <c r="AF36" s="166">
        <v>82.46118212650282</v>
      </c>
      <c r="AG36" s="166">
        <v>81.431768542600082</v>
      </c>
      <c r="AH36" s="166">
        <v>83.373443742554031</v>
      </c>
      <c r="AI36" s="166">
        <v>89.739476773593154</v>
      </c>
      <c r="AJ36" s="165">
        <v>103.89079794445267</v>
      </c>
      <c r="AK36" s="165"/>
      <c r="AL36" s="166">
        <v>1.1086974011815047</v>
      </c>
      <c r="AM36" s="166">
        <v>1.0948878783690683</v>
      </c>
      <c r="AN36" s="166">
        <v>1.1210407698137705</v>
      </c>
      <c r="AO36" s="166">
        <v>1.2066030267565</v>
      </c>
      <c r="AP36" s="165">
        <v>1.3968551241463449</v>
      </c>
      <c r="AQ36" s="73" t="str">
        <f>$A$8</f>
        <v>15-19</v>
      </c>
      <c r="AR36" s="166">
        <v>0.12314322038975159</v>
      </c>
      <c r="AS36" s="166">
        <v>0.59775321855860108</v>
      </c>
      <c r="AT36" s="166">
        <v>1.4364436080908414</v>
      </c>
      <c r="AU36" s="166">
        <v>1.4711404924164426</v>
      </c>
      <c r="AV36" s="165">
        <v>1.6223372901217372</v>
      </c>
      <c r="AW36" s="165"/>
      <c r="AX36" s="166">
        <v>0.12314322038975159</v>
      </c>
      <c r="AY36" s="166">
        <v>0.59775321855860108</v>
      </c>
      <c r="AZ36" s="166">
        <v>1.4364436080908414</v>
      </c>
      <c r="BA36" s="166">
        <v>1.4711404924164426</v>
      </c>
      <c r="BB36" s="165">
        <v>1.6223372901217372</v>
      </c>
      <c r="BC36" s="165"/>
      <c r="BD36" s="166">
        <v>0</v>
      </c>
      <c r="BE36" s="166">
        <v>0</v>
      </c>
      <c r="BF36" s="166">
        <v>0</v>
      </c>
      <c r="BG36" s="166">
        <v>0</v>
      </c>
      <c r="BH36" s="165">
        <v>0</v>
      </c>
    </row>
    <row r="37" spans="1:60">
      <c r="A37" s="73" t="str">
        <f>$A$9</f>
        <v>20-24</v>
      </c>
      <c r="B37" s="166">
        <v>51.28667688291447</v>
      </c>
      <c r="C37" s="166">
        <v>50.325615142463022</v>
      </c>
      <c r="D37" s="166">
        <v>41.617556806647421</v>
      </c>
      <c r="E37" s="166">
        <v>36.381749805465141</v>
      </c>
      <c r="F37" s="165">
        <v>33.131944227953063</v>
      </c>
      <c r="G37" s="165"/>
      <c r="H37" s="166">
        <v>18.958252611047016</v>
      </c>
      <c r="I37" s="166">
        <v>18.60303815545123</v>
      </c>
      <c r="J37" s="166">
        <v>15.38403685205089</v>
      </c>
      <c r="K37" s="166">
        <v>13.448615257113641</v>
      </c>
      <c r="L37" s="165">
        <v>12.247310379881396</v>
      </c>
      <c r="M37" s="165"/>
      <c r="N37" s="166">
        <v>32.328424271867455</v>
      </c>
      <c r="O37" s="166">
        <v>31.722576987011788</v>
      </c>
      <c r="P37" s="166">
        <v>26.233519954596538</v>
      </c>
      <c r="Q37" s="166">
        <v>22.9331345483515</v>
      </c>
      <c r="R37" s="165">
        <v>20.884633848071665</v>
      </c>
      <c r="S37" s="165"/>
      <c r="T37" s="166">
        <v>0</v>
      </c>
      <c r="U37" s="166">
        <v>0</v>
      </c>
      <c r="V37" s="166">
        <v>0</v>
      </c>
      <c r="W37" s="166">
        <v>0</v>
      </c>
      <c r="X37" s="165">
        <v>0</v>
      </c>
      <c r="Y37" s="73" t="str">
        <f>$A$9</f>
        <v>20-24</v>
      </c>
      <c r="Z37" s="166">
        <v>179.47599670013653</v>
      </c>
      <c r="AA37" s="166">
        <v>187.56758244877105</v>
      </c>
      <c r="AB37" s="166">
        <v>195.70388276755187</v>
      </c>
      <c r="AC37" s="166">
        <v>186.34405047249078</v>
      </c>
      <c r="AD37" s="165">
        <v>185.01228504909878</v>
      </c>
      <c r="AE37" s="165"/>
      <c r="AF37" s="166">
        <v>169.79137146665974</v>
      </c>
      <c r="AG37" s="166">
        <v>177.44629400726811</v>
      </c>
      <c r="AH37" s="166">
        <v>185.14356605643363</v>
      </c>
      <c r="AI37" s="166">
        <v>176.28878253096943</v>
      </c>
      <c r="AJ37" s="165">
        <v>175.02885632439069</v>
      </c>
      <c r="AK37" s="165"/>
      <c r="AL37" s="166">
        <v>9.6846252334768117</v>
      </c>
      <c r="AM37" s="166">
        <v>10.121288441502955</v>
      </c>
      <c r="AN37" s="166">
        <v>10.560316711118229</v>
      </c>
      <c r="AO37" s="166">
        <v>10.055267941521366</v>
      </c>
      <c r="AP37" s="165">
        <v>9.9834287247081175</v>
      </c>
      <c r="AQ37" s="73" t="str">
        <f>$A$9</f>
        <v>20-24</v>
      </c>
      <c r="AR37" s="166">
        <v>88.329326416949002</v>
      </c>
      <c r="AS37" s="166">
        <v>91.282802408765903</v>
      </c>
      <c r="AT37" s="166">
        <v>110.63256042580073</v>
      </c>
      <c r="AU37" s="166">
        <v>118.86519972204405</v>
      </c>
      <c r="AV37" s="165">
        <v>132.58977072294817</v>
      </c>
      <c r="AW37" s="165"/>
      <c r="AX37" s="166">
        <v>88.165028914454396</v>
      </c>
      <c r="AY37" s="166">
        <v>91.112930485790656</v>
      </c>
      <c r="AZ37" s="166">
        <v>110.42669182995489</v>
      </c>
      <c r="BA37" s="166">
        <v>118.644032109338</v>
      </c>
      <c r="BB37" s="165">
        <v>132.3431042203359</v>
      </c>
      <c r="BC37" s="165"/>
      <c r="BD37" s="166">
        <v>0.16429750249460409</v>
      </c>
      <c r="BE37" s="166">
        <v>0.16987192297524076</v>
      </c>
      <c r="BF37" s="166">
        <v>0.2058685958458471</v>
      </c>
      <c r="BG37" s="166">
        <v>0.2211676127060439</v>
      </c>
      <c r="BH37" s="165">
        <v>0.2466665026122716</v>
      </c>
    </row>
    <row r="38" spans="1:60">
      <c r="A38" s="73" t="str">
        <f>$A$10</f>
        <v>25-29</v>
      </c>
      <c r="B38" s="166">
        <v>48.980336910061595</v>
      </c>
      <c r="C38" s="166">
        <v>58.029393144137778</v>
      </c>
      <c r="D38" s="166">
        <v>51.776100367683391</v>
      </c>
      <c r="E38" s="166">
        <v>49.053973946460331</v>
      </c>
      <c r="F38" s="165">
        <v>43.531243964596278</v>
      </c>
      <c r="G38" s="165"/>
      <c r="H38" s="166">
        <v>18.23204899869749</v>
      </c>
      <c r="I38" s="166">
        <v>21.600341017225613</v>
      </c>
      <c r="J38" s="166">
        <v>19.272660294510747</v>
      </c>
      <c r="K38" s="166">
        <v>18.259465614997644</v>
      </c>
      <c r="L38" s="165">
        <v>16.203686177787539</v>
      </c>
      <c r="M38" s="165"/>
      <c r="N38" s="166">
        <v>30.748287911364105</v>
      </c>
      <c r="O38" s="166">
        <v>36.429052126912168</v>
      </c>
      <c r="P38" s="166">
        <v>32.503440073172648</v>
      </c>
      <c r="Q38" s="166">
        <v>30.794508331462694</v>
      </c>
      <c r="R38" s="165">
        <v>27.32755778680874</v>
      </c>
      <c r="S38" s="165"/>
      <c r="T38" s="166">
        <v>0</v>
      </c>
      <c r="U38" s="166">
        <v>0</v>
      </c>
      <c r="V38" s="166">
        <v>0</v>
      </c>
      <c r="W38" s="166">
        <v>0</v>
      </c>
      <c r="X38" s="165">
        <v>0</v>
      </c>
      <c r="Y38" s="73" t="str">
        <f>$A$10</f>
        <v>25-29</v>
      </c>
      <c r="Z38" s="166">
        <v>127.78718872779281</v>
      </c>
      <c r="AA38" s="166">
        <v>119.37410820126239</v>
      </c>
      <c r="AB38" s="166">
        <v>118.02109899531821</v>
      </c>
      <c r="AC38" s="166">
        <v>118.58410734575391</v>
      </c>
      <c r="AD38" s="165">
        <v>111.69989644356696</v>
      </c>
      <c r="AE38" s="165"/>
      <c r="AF38" s="166">
        <v>117.06434284916277</v>
      </c>
      <c r="AG38" s="166">
        <v>109.35717668619014</v>
      </c>
      <c r="AH38" s="166">
        <v>108.11773722560081</v>
      </c>
      <c r="AI38" s="166">
        <v>108.63342670868553</v>
      </c>
      <c r="AJ38" s="165">
        <v>102.3269079217695</v>
      </c>
      <c r="AK38" s="165"/>
      <c r="AL38" s="166">
        <v>10.722845878630038</v>
      </c>
      <c r="AM38" s="166">
        <v>10.01693151507223</v>
      </c>
      <c r="AN38" s="166">
        <v>9.9033617697174048</v>
      </c>
      <c r="AO38" s="166">
        <v>9.9506806370683663</v>
      </c>
      <c r="AP38" s="165">
        <v>9.3729885217974456</v>
      </c>
      <c r="AQ38" s="73" t="str">
        <f>$A$10</f>
        <v>25-29</v>
      </c>
      <c r="AR38" s="166">
        <v>165.48947436214561</v>
      </c>
      <c r="AS38" s="166">
        <v>169.04449865459986</v>
      </c>
      <c r="AT38" s="166">
        <v>192.77780063699839</v>
      </c>
      <c r="AU38" s="166">
        <v>214.16091870778578</v>
      </c>
      <c r="AV38" s="165">
        <v>222.34985959183678</v>
      </c>
      <c r="AW38" s="165"/>
      <c r="AX38" s="166">
        <v>163.99516578961072</v>
      </c>
      <c r="AY38" s="166">
        <v>167.51816718569009</v>
      </c>
      <c r="AZ38" s="166">
        <v>191.03715957991898</v>
      </c>
      <c r="BA38" s="166">
        <v>212.22723208261212</v>
      </c>
      <c r="BB38" s="165">
        <v>220.34220948065195</v>
      </c>
      <c r="BC38" s="165"/>
      <c r="BD38" s="166">
        <v>1.4943085725348841</v>
      </c>
      <c r="BE38" s="166">
        <v>1.526331468909754</v>
      </c>
      <c r="BF38" s="166">
        <v>1.740641057079428</v>
      </c>
      <c r="BG38" s="166">
        <v>1.9336866251736855</v>
      </c>
      <c r="BH38" s="165">
        <v>2.0076501111848128</v>
      </c>
    </row>
    <row r="39" spans="1:60">
      <c r="A39" s="73" t="str">
        <f>$A$11</f>
        <v>30-34</v>
      </c>
      <c r="B39" s="166">
        <v>48.351616200732686</v>
      </c>
      <c r="C39" s="166">
        <v>54.81450484456311</v>
      </c>
      <c r="D39" s="166">
        <v>52.150998553698685</v>
      </c>
      <c r="E39" s="166">
        <v>48.164476439532713</v>
      </c>
      <c r="F39" s="165">
        <v>40.226027639053598</v>
      </c>
      <c r="G39" s="165"/>
      <c r="H39" s="166">
        <v>20.247488689226163</v>
      </c>
      <c r="I39" s="166">
        <v>22.95380254002168</v>
      </c>
      <c r="J39" s="166">
        <v>21.838502656747391</v>
      </c>
      <c r="K39" s="166">
        <v>20.169083304063328</v>
      </c>
      <c r="L39" s="165">
        <v>16.844826452036404</v>
      </c>
      <c r="M39" s="165"/>
      <c r="N39" s="166">
        <v>28.104127511506523</v>
      </c>
      <c r="O39" s="166">
        <v>31.86070230454143</v>
      </c>
      <c r="P39" s="166">
        <v>30.312495896951297</v>
      </c>
      <c r="Q39" s="166">
        <v>27.995393135469385</v>
      </c>
      <c r="R39" s="165">
        <v>23.381201187017187</v>
      </c>
      <c r="S39" s="165"/>
      <c r="T39" s="166">
        <v>0</v>
      </c>
      <c r="U39" s="166">
        <v>0</v>
      </c>
      <c r="V39" s="166">
        <v>0</v>
      </c>
      <c r="W39" s="166">
        <v>0</v>
      </c>
      <c r="X39" s="165">
        <v>0</v>
      </c>
      <c r="Y39" s="73" t="str">
        <f>$A$11</f>
        <v>30-34</v>
      </c>
      <c r="Z39" s="166">
        <v>126.59052603481021</v>
      </c>
      <c r="AA39" s="166">
        <v>118.76404254564063</v>
      </c>
      <c r="AB39" s="166">
        <v>124.03995863874285</v>
      </c>
      <c r="AC39" s="166">
        <v>123.84674741528471</v>
      </c>
      <c r="AD39" s="165">
        <v>125.93134426917472</v>
      </c>
      <c r="AE39" s="165"/>
      <c r="AF39" s="166">
        <v>116.68034085440465</v>
      </c>
      <c r="AG39" s="166">
        <v>109.46652247600598</v>
      </c>
      <c r="AH39" s="166">
        <v>114.32946398888731</v>
      </c>
      <c r="AI39" s="166">
        <v>114.15134413116714</v>
      </c>
      <c r="AJ39" s="165">
        <v>116.0727553396063</v>
      </c>
      <c r="AK39" s="165"/>
      <c r="AL39" s="166">
        <v>9.9101851804055663</v>
      </c>
      <c r="AM39" s="166">
        <v>9.2975200696346505</v>
      </c>
      <c r="AN39" s="166">
        <v>9.7104946498555318</v>
      </c>
      <c r="AO39" s="166">
        <v>9.6954032841175852</v>
      </c>
      <c r="AP39" s="165">
        <v>9.8585889295684215</v>
      </c>
      <c r="AQ39" s="73" t="str">
        <f>$A$11</f>
        <v>30-34</v>
      </c>
      <c r="AR39" s="166">
        <v>165.33285776445709</v>
      </c>
      <c r="AS39" s="166">
        <v>173.27745260979628</v>
      </c>
      <c r="AT39" s="166">
        <v>193.84104280755847</v>
      </c>
      <c r="AU39" s="166">
        <v>212.88877614518256</v>
      </c>
      <c r="AV39" s="165">
        <v>239.55062809177167</v>
      </c>
      <c r="AW39" s="165"/>
      <c r="AX39" s="166">
        <v>163.54698646509576</v>
      </c>
      <c r="AY39" s="166">
        <v>171.40581210762247</v>
      </c>
      <c r="AZ39" s="166">
        <v>191.74726433199922</v>
      </c>
      <c r="BA39" s="166">
        <v>210.58921239342598</v>
      </c>
      <c r="BB39" s="165">
        <v>236.96312770820174</v>
      </c>
      <c r="BC39" s="165"/>
      <c r="BD39" s="166">
        <v>1.785871299361329</v>
      </c>
      <c r="BE39" s="166">
        <v>1.8716405021737883</v>
      </c>
      <c r="BF39" s="166">
        <v>2.0937784755592417</v>
      </c>
      <c r="BG39" s="166">
        <v>2.2995637517565553</v>
      </c>
      <c r="BH39" s="165">
        <v>2.587500383569969</v>
      </c>
    </row>
    <row r="40" spans="1:60">
      <c r="A40" s="73" t="str">
        <f>$A$12</f>
        <v>35-39</v>
      </c>
      <c r="B40" s="166">
        <v>72.542037614782771</v>
      </c>
      <c r="C40" s="166">
        <v>65.06766726540738</v>
      </c>
      <c r="D40" s="166">
        <v>54.766784806672291</v>
      </c>
      <c r="E40" s="166">
        <v>45.523587094052431</v>
      </c>
      <c r="F40" s="165">
        <v>34.291330085724873</v>
      </c>
      <c r="G40" s="165"/>
      <c r="H40" s="166">
        <v>28.179422220811407</v>
      </c>
      <c r="I40" s="166">
        <v>25.275934699382731</v>
      </c>
      <c r="J40" s="166">
        <v>21.27450416950764</v>
      </c>
      <c r="K40" s="166">
        <v>17.683894029231208</v>
      </c>
      <c r="L40" s="165">
        <v>13.320662566860962</v>
      </c>
      <c r="M40" s="165"/>
      <c r="N40" s="166">
        <v>44.362615393971375</v>
      </c>
      <c r="O40" s="166">
        <v>39.791732566024642</v>
      </c>
      <c r="P40" s="166">
        <v>33.492280637164654</v>
      </c>
      <c r="Q40" s="166">
        <v>27.839693064821223</v>
      </c>
      <c r="R40" s="165">
        <v>20.97066751886392</v>
      </c>
      <c r="S40" s="165"/>
      <c r="T40" s="166">
        <v>0</v>
      </c>
      <c r="U40" s="166">
        <v>0</v>
      </c>
      <c r="V40" s="166">
        <v>0</v>
      </c>
      <c r="W40" s="166">
        <v>0</v>
      </c>
      <c r="X40" s="165">
        <v>0</v>
      </c>
      <c r="Y40" s="73" t="str">
        <f>$A$12</f>
        <v>35-39</v>
      </c>
      <c r="Z40" s="166">
        <v>150.0126567417164</v>
      </c>
      <c r="AA40" s="166">
        <v>135.68236231505094</v>
      </c>
      <c r="AB40" s="166">
        <v>124.7291826751361</v>
      </c>
      <c r="AC40" s="166">
        <v>129.47197272823703</v>
      </c>
      <c r="AD40" s="165">
        <v>133.15322905166937</v>
      </c>
      <c r="AE40" s="165"/>
      <c r="AF40" s="166">
        <v>140.37576984147361</v>
      </c>
      <c r="AG40" s="166">
        <v>126.96602473402704</v>
      </c>
      <c r="AH40" s="166">
        <v>116.71649206662644</v>
      </c>
      <c r="AI40" s="166">
        <v>121.15460882835858</v>
      </c>
      <c r="AJ40" s="165">
        <v>124.59942116921782</v>
      </c>
      <c r="AK40" s="165"/>
      <c r="AL40" s="166">
        <v>9.6368869002428053</v>
      </c>
      <c r="AM40" s="166">
        <v>8.7163375810238843</v>
      </c>
      <c r="AN40" s="166">
        <v>8.0126906085096579</v>
      </c>
      <c r="AO40" s="166">
        <v>8.3173638998784618</v>
      </c>
      <c r="AP40" s="165">
        <v>8.5538078824515384</v>
      </c>
      <c r="AQ40" s="73" t="str">
        <f>$A$12</f>
        <v>35-39</v>
      </c>
      <c r="AR40" s="166">
        <v>154.06830564350082</v>
      </c>
      <c r="AS40" s="166">
        <v>168.96597041954166</v>
      </c>
      <c r="AT40" s="166">
        <v>183.46103251819156</v>
      </c>
      <c r="AU40" s="166">
        <v>208.70844017771051</v>
      </c>
      <c r="AV40" s="165">
        <v>232.21144086260571</v>
      </c>
      <c r="AW40" s="165"/>
      <c r="AX40" s="166">
        <v>152.29837009196677</v>
      </c>
      <c r="AY40" s="166">
        <v>167.02491938857551</v>
      </c>
      <c r="AZ40" s="166">
        <v>181.35346640367695</v>
      </c>
      <c r="BA40" s="166">
        <v>206.31083395767615</v>
      </c>
      <c r="BB40" s="165">
        <v>229.54383629553598</v>
      </c>
      <c r="BC40" s="165"/>
      <c r="BD40" s="166">
        <v>1.7699355515340602</v>
      </c>
      <c r="BE40" s="166">
        <v>1.9410510309661682</v>
      </c>
      <c r="BF40" s="166">
        <v>2.1075661145145714</v>
      </c>
      <c r="BG40" s="166">
        <v>2.3976062200343793</v>
      </c>
      <c r="BH40" s="165">
        <v>2.6676045670697208</v>
      </c>
    </row>
    <row r="41" spans="1:60">
      <c r="A41" s="73" t="str">
        <f>$A$13</f>
        <v>40-44</v>
      </c>
      <c r="B41" s="166">
        <v>95.592148824351668</v>
      </c>
      <c r="C41" s="166">
        <v>82.616320455715311</v>
      </c>
      <c r="D41" s="166">
        <v>65.715939292358911</v>
      </c>
      <c r="E41" s="166">
        <v>45.625343125830476</v>
      </c>
      <c r="F41" s="165">
        <v>32.319365015981639</v>
      </c>
      <c r="G41" s="165"/>
      <c r="H41" s="166">
        <v>37.546766551729547</v>
      </c>
      <c r="I41" s="166">
        <v>32.450059589071273</v>
      </c>
      <c r="J41" s="166">
        <v>25.811957711373253</v>
      </c>
      <c r="K41" s="166">
        <v>17.920731648709907</v>
      </c>
      <c r="L41" s="165">
        <v>12.694407857730498</v>
      </c>
      <c r="M41" s="165"/>
      <c r="N41" s="166">
        <v>58.045382272622113</v>
      </c>
      <c r="O41" s="166">
        <v>50.166260866644031</v>
      </c>
      <c r="P41" s="166">
        <v>39.903981580985658</v>
      </c>
      <c r="Q41" s="166">
        <v>27.704611477120565</v>
      </c>
      <c r="R41" s="165">
        <v>19.624957158251146</v>
      </c>
      <c r="S41" s="165"/>
      <c r="T41" s="166">
        <v>0</v>
      </c>
      <c r="U41" s="166">
        <v>0</v>
      </c>
      <c r="V41" s="166">
        <v>0</v>
      </c>
      <c r="W41" s="166">
        <v>0</v>
      </c>
      <c r="X41" s="165">
        <v>0</v>
      </c>
      <c r="Y41" s="73" t="str">
        <f>$A$13</f>
        <v>40-44</v>
      </c>
      <c r="Z41" s="166">
        <v>162.09391868766315</v>
      </c>
      <c r="AA41" s="166">
        <v>149.15249146976197</v>
      </c>
      <c r="AB41" s="166">
        <v>139.74715456529819</v>
      </c>
      <c r="AC41" s="166">
        <v>140.1664801116975</v>
      </c>
      <c r="AD41" s="165">
        <v>150.93061003653065</v>
      </c>
      <c r="AE41" s="165"/>
      <c r="AF41" s="166">
        <v>153.25080642376565</v>
      </c>
      <c r="AG41" s="166">
        <v>141.01546291821501</v>
      </c>
      <c r="AH41" s="166">
        <v>132.12323273689802</v>
      </c>
      <c r="AI41" s="166">
        <v>132.51964992616811</v>
      </c>
      <c r="AJ41" s="165">
        <v>142.69650407013222</v>
      </c>
      <c r="AK41" s="165"/>
      <c r="AL41" s="166">
        <v>8.8431122638974973</v>
      </c>
      <c r="AM41" s="166">
        <v>8.1370285515469902</v>
      </c>
      <c r="AN41" s="166">
        <v>7.6239218284001815</v>
      </c>
      <c r="AO41" s="166">
        <v>7.6468301855293674</v>
      </c>
      <c r="AP41" s="165">
        <v>8.2341059663984471</v>
      </c>
      <c r="AQ41" s="73" t="str">
        <f>$A$13</f>
        <v>40-44</v>
      </c>
      <c r="AR41" s="166">
        <v>142.30393248798518</v>
      </c>
      <c r="AS41" s="166">
        <v>157.16218807452273</v>
      </c>
      <c r="AT41" s="166">
        <v>174.12990614234292</v>
      </c>
      <c r="AU41" s="166">
        <v>185.34617676247206</v>
      </c>
      <c r="AV41" s="165">
        <v>209.35902494748774</v>
      </c>
      <c r="AW41" s="165"/>
      <c r="AX41" s="166">
        <v>140.61932188279332</v>
      </c>
      <c r="AY41" s="166">
        <v>155.30162565099377</v>
      </c>
      <c r="AZ41" s="166">
        <v>172.06854465783039</v>
      </c>
      <c r="BA41" s="166">
        <v>183.15203689418161</v>
      </c>
      <c r="BB41" s="165">
        <v>206.8805346793352</v>
      </c>
      <c r="BC41" s="165"/>
      <c r="BD41" s="166">
        <v>1.6846106051918688</v>
      </c>
      <c r="BE41" s="166">
        <v>1.8605624235289417</v>
      </c>
      <c r="BF41" s="166">
        <v>2.061361484512561</v>
      </c>
      <c r="BG41" s="166">
        <v>2.1941398682904496</v>
      </c>
      <c r="BH41" s="165">
        <v>2.4784902681525449</v>
      </c>
    </row>
    <row r="42" spans="1:60">
      <c r="A42" s="73" t="str">
        <f>$A$14</f>
        <v>45-49</v>
      </c>
      <c r="B42" s="166">
        <v>121.60001747416324</v>
      </c>
      <c r="C42" s="166">
        <v>119.25515350242472</v>
      </c>
      <c r="D42" s="166">
        <v>78.884619183002073</v>
      </c>
      <c r="E42" s="166">
        <v>54.824500970236151</v>
      </c>
      <c r="F42" s="165">
        <v>37.259131610277123</v>
      </c>
      <c r="G42" s="165"/>
      <c r="H42" s="166">
        <v>52.054388742127969</v>
      </c>
      <c r="I42" s="166">
        <v>51.050559464587302</v>
      </c>
      <c r="J42" s="166">
        <v>33.768780739827292</v>
      </c>
      <c r="K42" s="166">
        <v>23.469200966687755</v>
      </c>
      <c r="L42" s="165">
        <v>15.949827829172355</v>
      </c>
      <c r="M42" s="165"/>
      <c r="N42" s="166">
        <v>69.545628732035269</v>
      </c>
      <c r="O42" s="166">
        <v>68.20459403783741</v>
      </c>
      <c r="P42" s="166">
        <v>45.115838443174781</v>
      </c>
      <c r="Q42" s="166">
        <v>31.355300003548397</v>
      </c>
      <c r="R42" s="165">
        <v>21.309303781104767</v>
      </c>
      <c r="S42" s="165"/>
      <c r="T42" s="166">
        <v>0</v>
      </c>
      <c r="U42" s="166">
        <v>0</v>
      </c>
      <c r="V42" s="166">
        <v>0</v>
      </c>
      <c r="W42" s="166">
        <v>0</v>
      </c>
      <c r="X42" s="165">
        <v>0</v>
      </c>
      <c r="Y42" s="73" t="str">
        <f>$A$14</f>
        <v>45-49</v>
      </c>
      <c r="Z42" s="166">
        <v>149.19037176042775</v>
      </c>
      <c r="AA42" s="166">
        <v>147.02780307619315</v>
      </c>
      <c r="AB42" s="166">
        <v>157.07832682690201</v>
      </c>
      <c r="AC42" s="166">
        <v>161.18355055313589</v>
      </c>
      <c r="AD42" s="165">
        <v>163.5645829534713</v>
      </c>
      <c r="AE42" s="165"/>
      <c r="AF42" s="166">
        <v>141.73208428692129</v>
      </c>
      <c r="AG42" s="166">
        <v>139.67761552454377</v>
      </c>
      <c r="AH42" s="166">
        <v>149.22576147745451</v>
      </c>
      <c r="AI42" s="166">
        <v>153.12567731056208</v>
      </c>
      <c r="AJ42" s="165">
        <v>155.38774863532086</v>
      </c>
      <c r="AK42" s="165"/>
      <c r="AL42" s="166">
        <v>7.4582874735064566</v>
      </c>
      <c r="AM42" s="166">
        <v>7.350187551649368</v>
      </c>
      <c r="AN42" s="166">
        <v>7.852565349447544</v>
      </c>
      <c r="AO42" s="166">
        <v>8.0578732425738266</v>
      </c>
      <c r="AP42" s="165">
        <v>8.1768343181504513</v>
      </c>
      <c r="AQ42" s="73" t="str">
        <f>$A$14</f>
        <v>45-49</v>
      </c>
      <c r="AR42" s="166">
        <v>127.15261076540904</v>
      </c>
      <c r="AS42" s="166">
        <v>139.95804342138214</v>
      </c>
      <c r="AT42" s="166">
        <v>158.0250539900959</v>
      </c>
      <c r="AU42" s="166">
        <v>167.70994847662797</v>
      </c>
      <c r="AV42" s="165">
        <v>175.15628543625161</v>
      </c>
      <c r="AW42" s="165"/>
      <c r="AX42" s="166">
        <v>125.59964483820595</v>
      </c>
      <c r="AY42" s="166">
        <v>138.24869825890119</v>
      </c>
      <c r="AZ42" s="166">
        <v>156.09507742676459</v>
      </c>
      <c r="BA42" s="166">
        <v>165.66165535163051</v>
      </c>
      <c r="BB42" s="165">
        <v>173.01706017357083</v>
      </c>
      <c r="BC42" s="165"/>
      <c r="BD42" s="166">
        <v>1.5529659272030856</v>
      </c>
      <c r="BE42" s="166">
        <v>1.7093451624809444</v>
      </c>
      <c r="BF42" s="166">
        <v>1.9299765633313342</v>
      </c>
      <c r="BG42" s="166">
        <v>2.0482931249974619</v>
      </c>
      <c r="BH42" s="165">
        <v>2.1392252626807844</v>
      </c>
    </row>
    <row r="43" spans="1:60">
      <c r="A43" s="73" t="str">
        <f>$A$15</f>
        <v>50-54</v>
      </c>
      <c r="B43" s="166">
        <v>151.76046321416865</v>
      </c>
      <c r="C43" s="166">
        <v>142.31942173288223</v>
      </c>
      <c r="D43" s="166">
        <v>119.93293116047923</v>
      </c>
      <c r="E43" s="166">
        <v>88.171156371964599</v>
      </c>
      <c r="F43" s="165">
        <v>63.180524219714144</v>
      </c>
      <c r="G43" s="165"/>
      <c r="H43" s="166">
        <v>72.199699301024509</v>
      </c>
      <c r="I43" s="166">
        <v>67.708117557824508</v>
      </c>
      <c r="J43" s="166">
        <v>57.057834143300127</v>
      </c>
      <c r="K43" s="166">
        <v>41.9472270479773</v>
      </c>
      <c r="L43" s="165">
        <v>30.058003326770649</v>
      </c>
      <c r="M43" s="165"/>
      <c r="N43" s="166">
        <v>79.560763913144157</v>
      </c>
      <c r="O43" s="166">
        <v>74.611304175057768</v>
      </c>
      <c r="P43" s="166">
        <v>62.875097017179108</v>
      </c>
      <c r="Q43" s="166">
        <v>46.223929323987292</v>
      </c>
      <c r="R43" s="165">
        <v>33.122520892943498</v>
      </c>
      <c r="S43" s="165"/>
      <c r="T43" s="166">
        <v>0</v>
      </c>
      <c r="U43" s="166">
        <v>0</v>
      </c>
      <c r="V43" s="166">
        <v>0</v>
      </c>
      <c r="W43" s="166">
        <v>0</v>
      </c>
      <c r="X43" s="165">
        <v>0</v>
      </c>
      <c r="Y43" s="73" t="str">
        <f>$A$15</f>
        <v>50-54</v>
      </c>
      <c r="Z43" s="166">
        <v>124.24614829379526</v>
      </c>
      <c r="AA43" s="166">
        <v>130.25908800461309</v>
      </c>
      <c r="AB43" s="166">
        <v>149.14503167899258</v>
      </c>
      <c r="AC43" s="166">
        <v>157.9913676435533</v>
      </c>
      <c r="AD43" s="165">
        <v>164.67380902817911</v>
      </c>
      <c r="AE43" s="165"/>
      <c r="AF43" s="166">
        <v>117.87817168097233</v>
      </c>
      <c r="AG43" s="166">
        <v>123.5828772613132</v>
      </c>
      <c r="AH43" s="166">
        <v>141.50083699823233</v>
      </c>
      <c r="AI43" s="166">
        <v>149.89384905562815</v>
      </c>
      <c r="AJ43" s="165">
        <v>156.23374286788874</v>
      </c>
      <c r="AK43" s="165"/>
      <c r="AL43" s="166">
        <v>6.3679766128229192</v>
      </c>
      <c r="AM43" s="166">
        <v>6.6762107432998921</v>
      </c>
      <c r="AN43" s="166">
        <v>7.6441946807602736</v>
      </c>
      <c r="AO43" s="166">
        <v>8.0975185879251441</v>
      </c>
      <c r="AP43" s="165">
        <v>8.4400661602903408</v>
      </c>
      <c r="AQ43" s="73" t="str">
        <f>$A$15</f>
        <v>50-54</v>
      </c>
      <c r="AR43" s="166">
        <v>92.988388492036123</v>
      </c>
      <c r="AS43" s="166">
        <v>110.77949026250468</v>
      </c>
      <c r="AT43" s="166">
        <v>137.77303716052822</v>
      </c>
      <c r="AU43" s="166">
        <v>148.29147598448213</v>
      </c>
      <c r="AV43" s="165">
        <v>157.07466675210676</v>
      </c>
      <c r="AW43" s="165"/>
      <c r="AX43" s="166">
        <v>92.202593366663635</v>
      </c>
      <c r="AY43" s="166">
        <v>109.84331382664183</v>
      </c>
      <c r="AZ43" s="166">
        <v>136.60872759410435</v>
      </c>
      <c r="BA43" s="166">
        <v>147.03823447333156</v>
      </c>
      <c r="BB43" s="165">
        <v>155.74724028806634</v>
      </c>
      <c r="BC43" s="165"/>
      <c r="BD43" s="166">
        <v>0.78579512537246932</v>
      </c>
      <c r="BE43" s="166">
        <v>0.93617643586283261</v>
      </c>
      <c r="BF43" s="166">
        <v>1.1643095664238496</v>
      </c>
      <c r="BG43" s="166">
        <v>1.2532415111505675</v>
      </c>
      <c r="BH43" s="165">
        <v>1.3274264640404241</v>
      </c>
    </row>
    <row r="44" spans="1:60">
      <c r="A44" s="73" t="str">
        <f>$A$16</f>
        <v>55-59</v>
      </c>
      <c r="B44" s="166">
        <v>164.06581424258854</v>
      </c>
      <c r="C44" s="166">
        <v>150.69890471648134</v>
      </c>
      <c r="D44" s="166">
        <v>139.62009278798115</v>
      </c>
      <c r="E44" s="166">
        <v>115.66738771483223</v>
      </c>
      <c r="F44" s="165">
        <v>84.578879253283077</v>
      </c>
      <c r="G44" s="165"/>
      <c r="H44" s="166">
        <v>83.472280270866776</v>
      </c>
      <c r="I44" s="166">
        <v>76.671543299949803</v>
      </c>
      <c r="J44" s="166">
        <v>71.034930306068375</v>
      </c>
      <c r="K44" s="166">
        <v>58.848447605981825</v>
      </c>
      <c r="L44" s="165">
        <v>43.031510173276651</v>
      </c>
      <c r="M44" s="165"/>
      <c r="N44" s="166">
        <v>80.593533971721769</v>
      </c>
      <c r="O44" s="166">
        <v>74.027361416531534</v>
      </c>
      <c r="P44" s="166">
        <v>68.585162481912789</v>
      </c>
      <c r="Q44" s="166">
        <v>56.818940108850398</v>
      </c>
      <c r="R44" s="165">
        <v>41.547369080006419</v>
      </c>
      <c r="S44" s="165"/>
      <c r="T44" s="166">
        <v>0</v>
      </c>
      <c r="U44" s="166">
        <v>0</v>
      </c>
      <c r="V44" s="166">
        <v>0</v>
      </c>
      <c r="W44" s="166">
        <v>0</v>
      </c>
      <c r="X44" s="165">
        <v>0</v>
      </c>
      <c r="Y44" s="73" t="str">
        <f>$A$16</f>
        <v>55-59</v>
      </c>
      <c r="Z44" s="166">
        <v>103.85146408829428</v>
      </c>
      <c r="AA44" s="166">
        <v>105.31706169001831</v>
      </c>
      <c r="AB44" s="166">
        <v>133.62564527254057</v>
      </c>
      <c r="AC44" s="166">
        <v>158.51241512029338</v>
      </c>
      <c r="AD44" s="165">
        <v>167.67684572688086</v>
      </c>
      <c r="AE44" s="165"/>
      <c r="AF44" s="166">
        <v>97.635306286684369</v>
      </c>
      <c r="AG44" s="166">
        <v>99.013227711577329</v>
      </c>
      <c r="AH44" s="166">
        <v>125.62736470938835</v>
      </c>
      <c r="AI44" s="166">
        <v>149.02451048118331</v>
      </c>
      <c r="AJ44" s="165">
        <v>157.64040037339234</v>
      </c>
      <c r="AK44" s="165"/>
      <c r="AL44" s="166">
        <v>6.2161578016099055</v>
      </c>
      <c r="AM44" s="166">
        <v>6.3038339784409745</v>
      </c>
      <c r="AN44" s="166">
        <v>7.9982805631522167</v>
      </c>
      <c r="AO44" s="166">
        <v>9.4879046391100914</v>
      </c>
      <c r="AP44" s="165">
        <v>10.036445353488508</v>
      </c>
      <c r="AQ44" s="73" t="str">
        <f>$A$16</f>
        <v>55-59</v>
      </c>
      <c r="AR44" s="166">
        <v>71.118721669117207</v>
      </c>
      <c r="AS44" s="166">
        <v>89.960033593500384</v>
      </c>
      <c r="AT44" s="166">
        <v>106.67026193947827</v>
      </c>
      <c r="AU44" s="166">
        <v>129.27319716487438</v>
      </c>
      <c r="AV44" s="165">
        <v>139.76427501983605</v>
      </c>
      <c r="AW44" s="165"/>
      <c r="AX44" s="166">
        <v>70.361656937121666</v>
      </c>
      <c r="AY44" s="166">
        <v>89.002383349993565</v>
      </c>
      <c r="AZ44" s="166">
        <v>105.53473797538304</v>
      </c>
      <c r="BA44" s="166">
        <v>127.89702319588957</v>
      </c>
      <c r="BB44" s="165">
        <v>138.27638669068557</v>
      </c>
      <c r="BC44" s="165"/>
      <c r="BD44" s="166">
        <v>0.75706473199554847</v>
      </c>
      <c r="BE44" s="166">
        <v>0.95765024350680805</v>
      </c>
      <c r="BF44" s="166">
        <v>1.1355239640952357</v>
      </c>
      <c r="BG44" s="166">
        <v>1.3761739689848116</v>
      </c>
      <c r="BH44" s="165">
        <v>1.4878883291504774</v>
      </c>
    </row>
    <row r="45" spans="1:60">
      <c r="A45" s="73" t="str">
        <f>$A$17</f>
        <v>60-64</v>
      </c>
      <c r="B45" s="166">
        <v>165.06537455422799</v>
      </c>
      <c r="C45" s="166">
        <v>167.88674816060211</v>
      </c>
      <c r="D45" s="166">
        <v>145.42540941137864</v>
      </c>
      <c r="E45" s="166">
        <v>125.57390015162404</v>
      </c>
      <c r="F45" s="165">
        <v>98.802245415285199</v>
      </c>
      <c r="G45" s="165"/>
      <c r="H45" s="166">
        <v>93.553123450841682</v>
      </c>
      <c r="I45" s="166">
        <v>95.15219797521867</v>
      </c>
      <c r="J45" s="166">
        <v>82.421896218232547</v>
      </c>
      <c r="K45" s="166">
        <v>71.170799052200323</v>
      </c>
      <c r="L45" s="165">
        <v>55.997543894228997</v>
      </c>
      <c r="M45" s="165"/>
      <c r="N45" s="166">
        <v>71.512251103386319</v>
      </c>
      <c r="O45" s="166">
        <v>72.734550185383426</v>
      </c>
      <c r="P45" s="166">
        <v>63.003513193146112</v>
      </c>
      <c r="Q45" s="166">
        <v>54.403101099423715</v>
      </c>
      <c r="R45" s="165">
        <v>42.804701521056209</v>
      </c>
      <c r="S45" s="165"/>
      <c r="T45" s="166">
        <v>0</v>
      </c>
      <c r="U45" s="166">
        <v>0</v>
      </c>
      <c r="V45" s="166">
        <v>0</v>
      </c>
      <c r="W45" s="166">
        <v>0</v>
      </c>
      <c r="X45" s="165">
        <v>0</v>
      </c>
      <c r="Y45" s="73" t="str">
        <f>$A$17</f>
        <v>60-64</v>
      </c>
      <c r="Z45" s="166">
        <v>78.364072036445037</v>
      </c>
      <c r="AA45" s="166">
        <v>85.048861618755822</v>
      </c>
      <c r="AB45" s="166">
        <v>109.18459242485633</v>
      </c>
      <c r="AC45" s="166">
        <v>137.4151283547578</v>
      </c>
      <c r="AD45" s="165">
        <v>160.29275934647907</v>
      </c>
      <c r="AE45" s="165"/>
      <c r="AF45" s="166">
        <v>73.870615721664365</v>
      </c>
      <c r="AG45" s="166">
        <v>80.172077906886543</v>
      </c>
      <c r="AH45" s="166">
        <v>102.92385352478725</v>
      </c>
      <c r="AI45" s="166">
        <v>129.53569602307752</v>
      </c>
      <c r="AJ45" s="165">
        <v>151.10146214371721</v>
      </c>
      <c r="AK45" s="165"/>
      <c r="AL45" s="166">
        <v>4.4934563147806799</v>
      </c>
      <c r="AM45" s="166">
        <v>4.8767837118692912</v>
      </c>
      <c r="AN45" s="166">
        <v>6.2607389000690823</v>
      </c>
      <c r="AO45" s="166">
        <v>7.8794323316802695</v>
      </c>
      <c r="AP45" s="165">
        <v>9.191297202761854</v>
      </c>
      <c r="AQ45" s="73" t="str">
        <f>$A$17</f>
        <v>60-64</v>
      </c>
      <c r="AR45" s="166">
        <v>56.310553409327007</v>
      </c>
      <c r="AS45" s="166">
        <v>67.870390220642065</v>
      </c>
      <c r="AT45" s="166">
        <v>84.024998163765019</v>
      </c>
      <c r="AU45" s="166">
        <v>110.21797149361819</v>
      </c>
      <c r="AV45" s="165">
        <v>138.11699523823569</v>
      </c>
      <c r="AW45" s="165"/>
      <c r="AX45" s="166">
        <v>55.169107221716523</v>
      </c>
      <c r="AY45" s="166">
        <v>66.494660625358861</v>
      </c>
      <c r="AZ45" s="166">
        <v>82.321847901242236</v>
      </c>
      <c r="BA45" s="166">
        <v>107.98385950823412</v>
      </c>
      <c r="BB45" s="165">
        <v>135.3173815226985</v>
      </c>
      <c r="BC45" s="165"/>
      <c r="BD45" s="166">
        <v>1.1414461876104915</v>
      </c>
      <c r="BE45" s="166">
        <v>1.375729595283202</v>
      </c>
      <c r="BF45" s="166">
        <v>1.7031502625227839</v>
      </c>
      <c r="BG45" s="166">
        <v>2.2341119853840721</v>
      </c>
      <c r="BH45" s="165">
        <v>2.7996137155371672</v>
      </c>
    </row>
    <row r="46" spans="1:60">
      <c r="A46" s="73" t="str">
        <f>$A$18</f>
        <v>65+</v>
      </c>
      <c r="B46" s="166">
        <v>684.22019433015396</v>
      </c>
      <c r="C46" s="166">
        <v>659.7220549729019</v>
      </c>
      <c r="D46" s="166">
        <v>597.6874930135458</v>
      </c>
      <c r="E46" s="166">
        <v>516.4377556390009</v>
      </c>
      <c r="F46" s="165">
        <v>432.27609064150056</v>
      </c>
      <c r="G46" s="167"/>
      <c r="H46" s="166">
        <v>489.85248018008991</v>
      </c>
      <c r="I46" s="166">
        <v>472.31354432994846</v>
      </c>
      <c r="J46" s="166">
        <v>427.90128288186639</v>
      </c>
      <c r="K46" s="166">
        <v>369.73229781992757</v>
      </c>
      <c r="L46" s="165">
        <v>309.47859548147727</v>
      </c>
      <c r="M46" s="167"/>
      <c r="N46" s="166">
        <v>194.3677141500641</v>
      </c>
      <c r="O46" s="166">
        <v>187.40851064295344</v>
      </c>
      <c r="P46" s="166">
        <v>169.78621013167941</v>
      </c>
      <c r="Q46" s="166">
        <v>146.70545781907333</v>
      </c>
      <c r="R46" s="165">
        <v>122.79749516002329</v>
      </c>
      <c r="S46" s="167"/>
      <c r="T46" s="167">
        <v>0</v>
      </c>
      <c r="U46" s="167">
        <v>0</v>
      </c>
      <c r="V46" s="167">
        <v>0</v>
      </c>
      <c r="W46" s="167">
        <v>0</v>
      </c>
      <c r="X46" s="167">
        <v>0</v>
      </c>
      <c r="Y46" s="73" t="str">
        <f>$A$18</f>
        <v>65+</v>
      </c>
      <c r="Z46" s="166">
        <v>229.30721305756543</v>
      </c>
      <c r="AA46" s="166">
        <v>242.95644971788712</v>
      </c>
      <c r="AB46" s="166">
        <v>324.13328439256134</v>
      </c>
      <c r="AC46" s="166">
        <v>392.98454329955848</v>
      </c>
      <c r="AD46" s="165">
        <v>471.20711273861792</v>
      </c>
      <c r="AE46" s="167"/>
      <c r="AF46" s="166">
        <v>216.90901867585666</v>
      </c>
      <c r="AG46" s="166">
        <v>229.82037680573097</v>
      </c>
      <c r="AH46" s="166">
        <v>306.60805056907492</v>
      </c>
      <c r="AI46" s="166">
        <v>371.73671710382393</v>
      </c>
      <c r="AJ46" s="165">
        <v>445.72999049974806</v>
      </c>
      <c r="AK46" s="167"/>
      <c r="AL46" s="166">
        <v>12.398194381708771</v>
      </c>
      <c r="AM46" s="166">
        <v>13.136072912156155</v>
      </c>
      <c r="AN46" s="166">
        <v>17.525233823486392</v>
      </c>
      <c r="AO46" s="166">
        <v>21.247826195734497</v>
      </c>
      <c r="AP46" s="165">
        <v>25.477122238869928</v>
      </c>
      <c r="AQ46" s="73" t="str">
        <f>$A$18</f>
        <v>65+</v>
      </c>
      <c r="AR46" s="166">
        <v>145.26459261228058</v>
      </c>
      <c r="AS46" s="166">
        <v>173.26549530921105</v>
      </c>
      <c r="AT46" s="166">
        <v>233.46822259389299</v>
      </c>
      <c r="AU46" s="166">
        <v>332.65670106144069</v>
      </c>
      <c r="AV46" s="165">
        <v>456.31479661988146</v>
      </c>
      <c r="AW46" s="167"/>
      <c r="AX46" s="166">
        <v>143.74209408925086</v>
      </c>
      <c r="AY46" s="166">
        <v>171.44937059191324</v>
      </c>
      <c r="AZ46" s="166">
        <v>231.02121966409953</v>
      </c>
      <c r="BA46" s="166">
        <v>329.17005716327628</v>
      </c>
      <c r="BB46" s="165">
        <v>451.53195718650386</v>
      </c>
      <c r="BC46" s="167"/>
      <c r="BD46" s="166">
        <v>1.5224985230297139</v>
      </c>
      <c r="BE46" s="166">
        <v>1.8161247172978172</v>
      </c>
      <c r="BF46" s="166">
        <v>2.4470029297934355</v>
      </c>
      <c r="BG46" s="166">
        <v>3.4866438981643779</v>
      </c>
      <c r="BH46" s="165">
        <v>4.7828394333776503</v>
      </c>
    </row>
    <row r="47" spans="1:60">
      <c r="A47" s="78"/>
      <c r="B47" s="168"/>
      <c r="C47" s="168"/>
      <c r="D47" s="168"/>
      <c r="E47" s="168"/>
      <c r="F47" s="168"/>
      <c r="G47" s="168"/>
      <c r="H47" s="168"/>
      <c r="I47" s="168"/>
      <c r="J47" s="168"/>
      <c r="K47" s="168"/>
      <c r="L47" s="168"/>
      <c r="M47" s="168"/>
      <c r="N47" s="168"/>
      <c r="O47" s="168"/>
      <c r="P47" s="168"/>
      <c r="Q47" s="168"/>
      <c r="R47" s="168"/>
      <c r="S47" s="168"/>
      <c r="Y47" s="78"/>
      <c r="Z47" s="168"/>
      <c r="AA47" s="168"/>
      <c r="AB47" s="168"/>
      <c r="AC47" s="168"/>
      <c r="AD47" s="168"/>
      <c r="AE47" s="168"/>
      <c r="AF47" s="168"/>
      <c r="AG47" s="168"/>
      <c r="AH47" s="168"/>
      <c r="AI47" s="168"/>
      <c r="AJ47" s="168"/>
      <c r="AK47" s="168"/>
      <c r="AL47" s="168"/>
      <c r="AM47" s="168"/>
      <c r="AN47" s="168"/>
      <c r="AO47" s="168"/>
      <c r="AP47" s="168"/>
      <c r="AQ47" s="78"/>
      <c r="AR47" s="168"/>
      <c r="AS47" s="168"/>
      <c r="AT47" s="168"/>
      <c r="AU47" s="168"/>
      <c r="AV47" s="168"/>
      <c r="AW47" s="168"/>
      <c r="AX47" s="168"/>
      <c r="AY47" s="168"/>
      <c r="AZ47" s="168"/>
      <c r="BA47" s="168"/>
      <c r="BB47" s="168"/>
      <c r="BC47" s="168"/>
      <c r="BD47" s="168"/>
      <c r="BE47" s="168"/>
      <c r="BF47" s="168"/>
      <c r="BG47" s="168"/>
      <c r="BH47" s="168"/>
    </row>
    <row r="48" spans="1:60">
      <c r="B48" s="76"/>
      <c r="C48" s="76"/>
      <c r="D48" s="76"/>
      <c r="E48" s="76"/>
      <c r="Z48" s="76"/>
      <c r="AA48" s="76"/>
      <c r="AB48" s="76"/>
      <c r="AC48" s="76"/>
      <c r="AR48" s="76"/>
      <c r="AS48" s="76"/>
      <c r="AT48" s="76"/>
      <c r="AU48" s="76"/>
    </row>
    <row r="49" spans="1:60" ht="15.75">
      <c r="A49" s="18" t="str">
        <f>CONCATENATE("Basic Table 2b  Labour Force by Gender, Age Group and ISCED Qualification, ",Info!B8,", ",$B$5,"-",$F$5)</f>
        <v>Basic Table 2b  Labour Force by Gender, Age Group and ISCED Qualification, , 2008-2025</v>
      </c>
      <c r="Y49" s="18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8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>
      <c r="W50" s="354" t="s">
        <v>113</v>
      </c>
      <c r="X50" s="354"/>
      <c r="AP50" s="160" t="str">
        <f>AP2</f>
        <v>Levels (000s)</v>
      </c>
      <c r="BH50" s="160" t="str">
        <f>BH2</f>
        <v>Levels (000s)</v>
      </c>
    </row>
    <row r="51" spans="1:60">
      <c r="A51" s="100" t="s">
        <v>244</v>
      </c>
      <c r="B51" s="161" t="str">
        <f>B3</f>
        <v>All Low qualifications</v>
      </c>
      <c r="C51" s="161"/>
      <c r="D51" s="162"/>
      <c r="E51" s="161"/>
      <c r="F51" s="161"/>
      <c r="G51" s="100"/>
      <c r="H51" s="161" t="str">
        <f>H3</f>
        <v>Pre-primary education</v>
      </c>
      <c r="I51" s="161"/>
      <c r="J51" s="161"/>
      <c r="K51" s="161"/>
      <c r="L51" s="161"/>
      <c r="M51" s="100"/>
      <c r="N51" s="161" t="str">
        <f>N3</f>
        <v>Primary education (1st stage basic)</v>
      </c>
      <c r="O51" s="161"/>
      <c r="P51" s="161"/>
      <c r="Q51" s="161"/>
      <c r="R51" s="161"/>
      <c r="S51" s="100"/>
      <c r="T51" s="360" t="str">
        <f>T3</f>
        <v>Lower secondary education (2nd stage basic)</v>
      </c>
      <c r="U51" s="360"/>
      <c r="V51" s="360"/>
      <c r="W51" s="360"/>
      <c r="X51" s="360"/>
      <c r="Y51" s="100" t="s">
        <v>244</v>
      </c>
      <c r="Z51" s="161" t="str">
        <f>Z3</f>
        <v>All Medium qualifications</v>
      </c>
      <c r="AA51" s="161"/>
      <c r="AB51" s="162"/>
      <c r="AC51" s="161"/>
      <c r="AD51" s="161"/>
      <c r="AE51" s="100"/>
      <c r="AF51" s="161" t="str">
        <f>AF3</f>
        <v>Upper secondary education</v>
      </c>
      <c r="AG51" s="161"/>
      <c r="AH51" s="161"/>
      <c r="AI51" s="161"/>
      <c r="AJ51" s="161"/>
      <c r="AK51" s="100"/>
      <c r="AL51" s="161" t="str">
        <f>AL3</f>
        <v>Post-secondary non-tertiary education</v>
      </c>
      <c r="AM51" s="161"/>
      <c r="AN51" s="161"/>
      <c r="AO51" s="161"/>
      <c r="AP51" s="161"/>
      <c r="AQ51" s="100" t="s">
        <v>244</v>
      </c>
      <c r="AR51" s="161" t="str">
        <f>AR3</f>
        <v>All High qualifications</v>
      </c>
      <c r="AS51" s="161"/>
      <c r="AT51" s="162"/>
      <c r="AU51" s="161"/>
      <c r="AV51" s="161"/>
      <c r="AW51" s="100"/>
      <c r="AX51" s="161" t="str">
        <f>AX3</f>
        <v>First stage of tertiary education</v>
      </c>
      <c r="AY51" s="161"/>
      <c r="AZ51" s="161"/>
      <c r="BA51" s="161"/>
      <c r="BB51" s="161"/>
      <c r="BC51" s="100"/>
      <c r="BD51" s="161" t="str">
        <f>BD3</f>
        <v>Second stage of tertiary education</v>
      </c>
      <c r="BE51" s="161"/>
      <c r="BF51" s="161"/>
      <c r="BG51" s="161"/>
      <c r="BH51" s="161"/>
    </row>
    <row r="52" spans="1:60">
      <c r="A52" s="157" t="s">
        <v>230</v>
      </c>
      <c r="B52" s="163"/>
      <c r="C52" s="163"/>
      <c r="D52" s="163"/>
      <c r="E52" s="163"/>
      <c r="F52" s="163"/>
      <c r="G52" s="74"/>
      <c r="H52" s="163"/>
      <c r="I52" s="163"/>
      <c r="J52" s="163"/>
      <c r="K52" s="163"/>
      <c r="L52" s="163"/>
      <c r="M52" s="74"/>
      <c r="N52" s="163"/>
      <c r="O52" s="163"/>
      <c r="P52" s="163"/>
      <c r="Q52" s="163"/>
      <c r="R52" s="163"/>
      <c r="S52" s="74"/>
      <c r="T52" s="163"/>
      <c r="U52" s="163"/>
      <c r="V52" s="163"/>
      <c r="W52" s="163"/>
      <c r="X52" s="163"/>
      <c r="Y52" s="157" t="s">
        <v>230</v>
      </c>
      <c r="Z52" s="163"/>
      <c r="AA52" s="163"/>
      <c r="AB52" s="163"/>
      <c r="AC52" s="163"/>
      <c r="AD52" s="163"/>
      <c r="AE52" s="74"/>
      <c r="AF52" s="163"/>
      <c r="AG52" s="163"/>
      <c r="AH52" s="163"/>
      <c r="AI52" s="163"/>
      <c r="AJ52" s="163"/>
      <c r="AK52" s="74"/>
      <c r="AL52" s="163"/>
      <c r="AM52" s="163"/>
      <c r="AN52" s="163"/>
      <c r="AO52" s="163"/>
      <c r="AP52" s="163"/>
      <c r="AQ52" s="157" t="s">
        <v>230</v>
      </c>
      <c r="AR52" s="163"/>
      <c r="AS52" s="163"/>
      <c r="AT52" s="163"/>
      <c r="AU52" s="163"/>
      <c r="AV52" s="163"/>
      <c r="AW52" s="74"/>
      <c r="AX52" s="163"/>
      <c r="AY52" s="163"/>
      <c r="AZ52" s="163"/>
      <c r="BA52" s="163"/>
      <c r="BB52" s="163"/>
      <c r="BC52" s="74"/>
      <c r="BD52" s="163"/>
      <c r="BE52" s="163"/>
      <c r="BF52" s="163"/>
      <c r="BG52" s="163"/>
      <c r="BH52" s="163"/>
    </row>
    <row r="53" spans="1:60">
      <c r="A53" s="156"/>
      <c r="B53" s="164">
        <v>2008</v>
      </c>
      <c r="C53" s="164">
        <v>2010</v>
      </c>
      <c r="D53" s="164">
        <v>2012</v>
      </c>
      <c r="E53" s="164">
        <v>2015</v>
      </c>
      <c r="F53" s="157">
        <v>2020</v>
      </c>
      <c r="G53" s="102"/>
      <c r="H53" s="102">
        <f>B53</f>
        <v>2008</v>
      </c>
      <c r="I53" s="102">
        <f>C53</f>
        <v>2010</v>
      </c>
      <c r="J53" s="102">
        <f>D53</f>
        <v>2012</v>
      </c>
      <c r="K53" s="102">
        <f>E53</f>
        <v>2015</v>
      </c>
      <c r="L53" s="102">
        <f>F53</f>
        <v>2020</v>
      </c>
      <c r="M53" s="102"/>
      <c r="N53" s="102">
        <f>B53</f>
        <v>2008</v>
      </c>
      <c r="O53" s="102">
        <f>C53</f>
        <v>2010</v>
      </c>
      <c r="P53" s="102">
        <f>D53</f>
        <v>2012</v>
      </c>
      <c r="Q53" s="102">
        <f>E53</f>
        <v>2015</v>
      </c>
      <c r="R53" s="102">
        <f>F53</f>
        <v>2020</v>
      </c>
      <c r="S53" s="102"/>
      <c r="T53" s="102">
        <f>B53</f>
        <v>2008</v>
      </c>
      <c r="U53" s="102">
        <f>C53</f>
        <v>2010</v>
      </c>
      <c r="V53" s="102">
        <f>D53</f>
        <v>2012</v>
      </c>
      <c r="W53" s="102">
        <f>E53</f>
        <v>2015</v>
      </c>
      <c r="X53" s="102">
        <f>F53</f>
        <v>2020</v>
      </c>
      <c r="Y53" s="156"/>
      <c r="Z53" s="164">
        <v>2008</v>
      </c>
      <c r="AA53" s="164">
        <v>2010</v>
      </c>
      <c r="AB53" s="164">
        <v>2012</v>
      </c>
      <c r="AC53" s="164">
        <v>2015</v>
      </c>
      <c r="AD53" s="157">
        <v>2020</v>
      </c>
      <c r="AE53" s="102"/>
      <c r="AF53" s="102">
        <f>Z53</f>
        <v>2008</v>
      </c>
      <c r="AG53" s="102">
        <f>AA53</f>
        <v>2010</v>
      </c>
      <c r="AH53" s="102">
        <f>AB53</f>
        <v>2012</v>
      </c>
      <c r="AI53" s="102">
        <f>AC53</f>
        <v>2015</v>
      </c>
      <c r="AJ53" s="102">
        <f>AD53</f>
        <v>2020</v>
      </c>
      <c r="AK53" s="102"/>
      <c r="AL53" s="102">
        <f>Z53</f>
        <v>2008</v>
      </c>
      <c r="AM53" s="102">
        <f>AA53</f>
        <v>2010</v>
      </c>
      <c r="AN53" s="102">
        <f>AB53</f>
        <v>2012</v>
      </c>
      <c r="AO53" s="102">
        <f>AC53</f>
        <v>2015</v>
      </c>
      <c r="AP53" s="102">
        <f>AD53</f>
        <v>2020</v>
      </c>
      <c r="AQ53" s="156"/>
      <c r="AR53" s="164">
        <v>2008</v>
      </c>
      <c r="AS53" s="164">
        <v>2010</v>
      </c>
      <c r="AT53" s="164">
        <v>2012</v>
      </c>
      <c r="AU53" s="164">
        <v>2015</v>
      </c>
      <c r="AV53" s="157">
        <v>2020</v>
      </c>
      <c r="AW53" s="102"/>
      <c r="AX53" s="102">
        <f>AR53</f>
        <v>2008</v>
      </c>
      <c r="AY53" s="102">
        <f>AS53</f>
        <v>2010</v>
      </c>
      <c r="AZ53" s="102">
        <f>AT53</f>
        <v>2012</v>
      </c>
      <c r="BA53" s="102">
        <f>AU53</f>
        <v>2015</v>
      </c>
      <c r="BB53" s="102">
        <f>AV53</f>
        <v>2020</v>
      </c>
      <c r="BC53" s="102"/>
      <c r="BD53" s="102">
        <f>AR53</f>
        <v>2008</v>
      </c>
      <c r="BE53" s="102">
        <f>AS53</f>
        <v>2010</v>
      </c>
      <c r="BF53" s="102">
        <f>AT53</f>
        <v>2012</v>
      </c>
      <c r="BG53" s="102">
        <f>AU53</f>
        <v>2015</v>
      </c>
      <c r="BH53" s="102">
        <f>AV53</f>
        <v>2020</v>
      </c>
    </row>
    <row r="54" spans="1:60">
      <c r="A54" s="96" t="str">
        <f>A6</f>
        <v>Males and females</v>
      </c>
      <c r="F54" s="165"/>
      <c r="G54" s="165"/>
      <c r="H54" s="165"/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Y54" s="96" t="str">
        <f>Y6</f>
        <v>Males and females</v>
      </c>
      <c r="AD54" s="165"/>
      <c r="AE54" s="165"/>
      <c r="AF54" s="165"/>
      <c r="AG54" s="165"/>
      <c r="AH54" s="165"/>
      <c r="AI54" s="165"/>
      <c r="AJ54" s="165"/>
      <c r="AK54" s="165"/>
      <c r="AL54" s="165"/>
      <c r="AM54" s="165"/>
      <c r="AN54" s="165"/>
      <c r="AO54" s="165"/>
      <c r="AP54" s="165"/>
      <c r="AQ54" s="96" t="str">
        <f>AQ6</f>
        <v>Males and females</v>
      </c>
      <c r="AV54" s="165"/>
      <c r="AW54" s="165"/>
      <c r="AX54" s="165"/>
      <c r="AY54" s="165"/>
      <c r="AZ54" s="165"/>
      <c r="BA54" s="165"/>
      <c r="BB54" s="165"/>
      <c r="BC54" s="165"/>
      <c r="BD54" s="165"/>
      <c r="BE54" s="165"/>
      <c r="BF54" s="165"/>
      <c r="BG54" s="165"/>
      <c r="BH54" s="165"/>
    </row>
    <row r="55" spans="1:60">
      <c r="A55" s="73" t="str">
        <f>A7</f>
        <v>15+</v>
      </c>
      <c r="B55" s="166">
        <f>SUM(B69,B83)</f>
        <v>1091.4118992738524</v>
      </c>
      <c r="C55" s="166">
        <f t="shared" ref="C55:F55" si="43">SUM(C69,C83)</f>
        <v>1100.0037861102892</v>
      </c>
      <c r="D55" s="166">
        <f t="shared" si="43"/>
        <v>916.42301941602898</v>
      </c>
      <c r="E55" s="166">
        <f t="shared" si="43"/>
        <v>787.47393586094222</v>
      </c>
      <c r="F55" s="166">
        <f t="shared" si="43"/>
        <v>647.93759918436888</v>
      </c>
      <c r="G55" s="165"/>
      <c r="H55" s="166">
        <f>SUM(H69,H83)</f>
        <v>362.47383711398129</v>
      </c>
      <c r="I55" s="166">
        <f t="shared" ref="I55:L55" si="44">SUM(I69,I83)</f>
        <v>367.09230695546</v>
      </c>
      <c r="J55" s="166">
        <f t="shared" si="44"/>
        <v>309.04252665358638</v>
      </c>
      <c r="K55" s="166">
        <f t="shared" si="44"/>
        <v>265.71661758383789</v>
      </c>
      <c r="L55" s="166">
        <f t="shared" si="44"/>
        <v>217.36047114432725</v>
      </c>
      <c r="M55" s="165"/>
      <c r="N55" s="166">
        <f>SUM(N69,N83)</f>
        <v>728.93806215987115</v>
      </c>
      <c r="O55" s="166">
        <f t="shared" ref="O55:R55" si="45">SUM(O69,O83)</f>
        <v>732.91147915482918</v>
      </c>
      <c r="P55" s="166">
        <f t="shared" si="45"/>
        <v>607.3804927624426</v>
      </c>
      <c r="Q55" s="166">
        <f t="shared" si="45"/>
        <v>521.75731827710433</v>
      </c>
      <c r="R55" s="166">
        <f t="shared" si="45"/>
        <v>430.57712804004166</v>
      </c>
      <c r="S55" s="165"/>
      <c r="T55" s="166">
        <f>SUM(T69,T83)</f>
        <v>0</v>
      </c>
      <c r="U55" s="166">
        <f t="shared" ref="U55:X55" si="46">SUM(U69,U83)</f>
        <v>0</v>
      </c>
      <c r="V55" s="166">
        <f t="shared" si="46"/>
        <v>0</v>
      </c>
      <c r="W55" s="166">
        <f t="shared" si="46"/>
        <v>0</v>
      </c>
      <c r="X55" s="166">
        <f t="shared" si="46"/>
        <v>0</v>
      </c>
      <c r="Y55" s="73" t="str">
        <f>Y7</f>
        <v>15+</v>
      </c>
      <c r="Z55" s="166">
        <f>SUM(Z69,Z83)</f>
        <v>1946.6117047650587</v>
      </c>
      <c r="AA55" s="166">
        <f t="shared" ref="AA55:AD55" si="47">SUM(AA69,AA83)</f>
        <v>1898.9657890695435</v>
      </c>
      <c r="AB55" s="166">
        <f t="shared" si="47"/>
        <v>1962.8308563745852</v>
      </c>
      <c r="AC55" s="166">
        <f t="shared" si="47"/>
        <v>2069.7042275623553</v>
      </c>
      <c r="AD55" s="166">
        <f t="shared" si="47"/>
        <v>2170.6375884387007</v>
      </c>
      <c r="AE55" s="165"/>
      <c r="AF55" s="166">
        <f>SUM(AF69,AF83)</f>
        <v>1824.1912882451829</v>
      </c>
      <c r="AG55" s="166">
        <f t="shared" ref="AG55:AJ55" si="48">SUM(AG69,AG83)</f>
        <v>1779.7966268394514</v>
      </c>
      <c r="AH55" s="166">
        <f t="shared" si="48"/>
        <v>1839.9843516955048</v>
      </c>
      <c r="AI55" s="166">
        <f t="shared" si="48"/>
        <v>1940.4817534613794</v>
      </c>
      <c r="AJ55" s="166">
        <f t="shared" si="48"/>
        <v>2035.5057599780253</v>
      </c>
      <c r="AK55" s="165"/>
      <c r="AL55" s="166">
        <f>SUM(AL69,AL83)</f>
        <v>122.42041651987563</v>
      </c>
      <c r="AM55" s="166">
        <f t="shared" ref="AM55:AP55" si="49">SUM(AM69,AM83)</f>
        <v>119.16916223009233</v>
      </c>
      <c r="AN55" s="166">
        <f t="shared" si="49"/>
        <v>122.84650467908108</v>
      </c>
      <c r="AO55" s="166">
        <f t="shared" si="49"/>
        <v>129.22247410097572</v>
      </c>
      <c r="AP55" s="166">
        <f t="shared" si="49"/>
        <v>135.13182846067508</v>
      </c>
      <c r="AQ55" s="73" t="str">
        <f>AQ7</f>
        <v>15+</v>
      </c>
      <c r="AR55" s="166">
        <f>SUM(AR69,AR83)</f>
        <v>1748.2863959610891</v>
      </c>
      <c r="AS55" s="166">
        <f t="shared" ref="AS55:AV55" si="50">SUM(AS69,AS83)</f>
        <v>1906.3674248201669</v>
      </c>
      <c r="AT55" s="166">
        <f t="shared" si="50"/>
        <v>2115.1681242093855</v>
      </c>
      <c r="AU55" s="166">
        <f t="shared" si="50"/>
        <v>2318.0908365767018</v>
      </c>
      <c r="AV55" s="166">
        <f t="shared" si="50"/>
        <v>2521.4978123769306</v>
      </c>
      <c r="AW55" s="165"/>
      <c r="AX55" s="166">
        <f>SUM(AX69,AX83)</f>
        <v>1717.00572023467</v>
      </c>
      <c r="AY55" s="166">
        <f t="shared" ref="AY55:BB55" si="51">SUM(AY69,AY83)</f>
        <v>1871.5654118320501</v>
      </c>
      <c r="AZ55" s="166">
        <f t="shared" si="51"/>
        <v>2075.3669628743173</v>
      </c>
      <c r="BA55" s="166">
        <f t="shared" si="51"/>
        <v>2274.1381911334825</v>
      </c>
      <c r="BB55" s="166">
        <f t="shared" si="51"/>
        <v>2472.9509757013893</v>
      </c>
      <c r="BC55" s="165"/>
      <c r="BD55" s="166">
        <f>SUM(BD69,BD83)</f>
        <v>31.280675726418963</v>
      </c>
      <c r="BE55" s="166">
        <f t="shared" ref="BE55:BH55" si="52">SUM(BE69,BE83)</f>
        <v>34.676945501519299</v>
      </c>
      <c r="BF55" s="166">
        <f t="shared" si="52"/>
        <v>39.483123423895734</v>
      </c>
      <c r="BG55" s="166">
        <f t="shared" si="52"/>
        <v>43.95264544321995</v>
      </c>
      <c r="BH55" s="166">
        <f t="shared" si="52"/>
        <v>48.546836675541741</v>
      </c>
    </row>
    <row r="56" spans="1:60">
      <c r="A56" s="73" t="str">
        <f t="shared" ref="A56:A66" si="53">A8</f>
        <v>15-19</v>
      </c>
      <c r="B56" s="166">
        <f t="shared" ref="B56:F66" si="54">SUM(B70,B84)</f>
        <v>33.922484918096792</v>
      </c>
      <c r="C56" s="166">
        <f t="shared" si="54"/>
        <v>33.428963380218356</v>
      </c>
      <c r="D56" s="166">
        <f t="shared" si="54"/>
        <v>25.618579168305843</v>
      </c>
      <c r="E56" s="166">
        <f t="shared" si="54"/>
        <v>27.576564899958772</v>
      </c>
      <c r="F56" s="166">
        <f t="shared" si="54"/>
        <v>31.444379921686618</v>
      </c>
      <c r="G56" s="165"/>
      <c r="H56" s="166">
        <f t="shared" ref="H56:L66" si="55">SUM(H70,H84)</f>
        <v>7.8573198535721822</v>
      </c>
      <c r="I56" s="166">
        <f t="shared" si="55"/>
        <v>7.5672034937247652</v>
      </c>
      <c r="J56" s="166">
        <f t="shared" si="55"/>
        <v>5.7747610908860949</v>
      </c>
      <c r="K56" s="166">
        <f t="shared" si="55"/>
        <v>6.3040880162625772</v>
      </c>
      <c r="L56" s="166">
        <f t="shared" si="55"/>
        <v>7.2506410354839996</v>
      </c>
      <c r="M56" s="165"/>
      <c r="N56" s="166">
        <f t="shared" ref="N56:R66" si="56">SUM(N70,N84)</f>
        <v>26.065165064524606</v>
      </c>
      <c r="O56" s="166">
        <f t="shared" si="56"/>
        <v>25.861759886493594</v>
      </c>
      <c r="P56" s="166">
        <f t="shared" si="56"/>
        <v>19.843818077419751</v>
      </c>
      <c r="Q56" s="166">
        <f t="shared" si="56"/>
        <v>21.272476883696193</v>
      </c>
      <c r="R56" s="166">
        <f t="shared" si="56"/>
        <v>24.193738886202624</v>
      </c>
      <c r="S56" s="165"/>
      <c r="T56" s="166">
        <f t="shared" ref="T56:X66" si="57">SUM(T70,T84)</f>
        <v>0</v>
      </c>
      <c r="U56" s="166">
        <f t="shared" si="57"/>
        <v>0</v>
      </c>
      <c r="V56" s="166">
        <f t="shared" si="57"/>
        <v>0</v>
      </c>
      <c r="W56" s="166">
        <f t="shared" si="57"/>
        <v>0</v>
      </c>
      <c r="X56" s="166">
        <f t="shared" si="57"/>
        <v>0</v>
      </c>
      <c r="Y56" s="73" t="str">
        <f t="shared" ref="Y56:Y66" si="58">Y8</f>
        <v>15-19</v>
      </c>
      <c r="Z56" s="166">
        <f t="shared" ref="Z56:AD66" si="59">SUM(Z70,Z84)</f>
        <v>28.669275921467221</v>
      </c>
      <c r="AA56" s="166">
        <f t="shared" si="59"/>
        <v>24.94017830051537</v>
      </c>
      <c r="AB56" s="166">
        <f t="shared" si="59"/>
        <v>22.096171672766943</v>
      </c>
      <c r="AC56" s="166">
        <f t="shared" si="59"/>
        <v>24.369923731987864</v>
      </c>
      <c r="AD56" s="166">
        <f t="shared" si="59"/>
        <v>28.847750118738247</v>
      </c>
      <c r="AE56" s="165"/>
      <c r="AF56" s="166">
        <f t="shared" ref="AF56:AJ66" si="60">SUM(AF70,AF84)</f>
        <v>27.131107622890386</v>
      </c>
      <c r="AG56" s="166">
        <f t="shared" si="60"/>
        <v>23.604856528669352</v>
      </c>
      <c r="AH56" s="166">
        <f t="shared" si="60"/>
        <v>20.910693259755835</v>
      </c>
      <c r="AI56" s="166">
        <f t="shared" si="60"/>
        <v>23.061501302502187</v>
      </c>
      <c r="AJ56" s="166">
        <f t="shared" si="60"/>
        <v>27.298051224460476</v>
      </c>
      <c r="AK56" s="165"/>
      <c r="AL56" s="166">
        <f t="shared" ref="AL56:AP66" si="61">SUM(AL70,AL84)</f>
        <v>1.538168298576831</v>
      </c>
      <c r="AM56" s="166">
        <f t="shared" si="61"/>
        <v>1.3353217718460186</v>
      </c>
      <c r="AN56" s="166">
        <f t="shared" si="61"/>
        <v>1.185478413011108</v>
      </c>
      <c r="AO56" s="166">
        <f t="shared" si="61"/>
        <v>1.3084224294856792</v>
      </c>
      <c r="AP56" s="166">
        <f t="shared" si="61"/>
        <v>1.5496988942777667</v>
      </c>
      <c r="AQ56" s="73" t="str">
        <f t="shared" ref="AQ56:AQ66" si="62">AQ8</f>
        <v>15-19</v>
      </c>
      <c r="AR56" s="166">
        <f t="shared" ref="AR56:AV66" si="63">SUM(AR70,AR84)</f>
        <v>0.22323916043599393</v>
      </c>
      <c r="AS56" s="166">
        <f t="shared" si="63"/>
        <v>0.23185831926626108</v>
      </c>
      <c r="AT56" s="166">
        <f t="shared" si="63"/>
        <v>0.31924915892721956</v>
      </c>
      <c r="AU56" s="166">
        <f t="shared" si="63"/>
        <v>0.32851136805335357</v>
      </c>
      <c r="AV56" s="166">
        <f t="shared" si="63"/>
        <v>0.36386995957513524</v>
      </c>
      <c r="AW56" s="165"/>
      <c r="AX56" s="166">
        <f t="shared" ref="AX56:BB66" si="64">SUM(AX70,AX84)</f>
        <v>0.18942213461700935</v>
      </c>
      <c r="AY56" s="166">
        <f t="shared" si="64"/>
        <v>7.0679138418197798E-2</v>
      </c>
      <c r="AZ56" s="166">
        <f t="shared" si="64"/>
        <v>8.014133599071727E-4</v>
      </c>
      <c r="BA56" s="166">
        <f t="shared" si="64"/>
        <v>0.32647088949339453</v>
      </c>
      <c r="BB56" s="166">
        <f t="shared" si="64"/>
        <v>0.3602016521563422</v>
      </c>
      <c r="BC56" s="165"/>
      <c r="BD56" s="166">
        <f t="shared" ref="BD56:BH66" si="65">SUM(BD70,BD84)</f>
        <v>3.3817025818984561E-2</v>
      </c>
      <c r="BE56" s="166">
        <f t="shared" si="65"/>
        <v>3.6111694250642229E-2</v>
      </c>
      <c r="BF56" s="166">
        <f t="shared" si="65"/>
        <v>4.0983439475890718E-4</v>
      </c>
      <c r="BG56" s="166">
        <f t="shared" si="65"/>
        <v>2.0404785599590159E-3</v>
      </c>
      <c r="BH56" s="166">
        <f t="shared" si="65"/>
        <v>3.6683074187930289E-3</v>
      </c>
    </row>
    <row r="57" spans="1:60">
      <c r="A57" s="73" t="str">
        <f t="shared" si="53"/>
        <v>20-24</v>
      </c>
      <c r="B57" s="166">
        <f t="shared" si="54"/>
        <v>69.997446885450401</v>
      </c>
      <c r="C57" s="166">
        <f t="shared" si="54"/>
        <v>73.885251785075525</v>
      </c>
      <c r="D57" s="166">
        <f t="shared" si="54"/>
        <v>60.82748778551305</v>
      </c>
      <c r="E57" s="166">
        <f t="shared" si="54"/>
        <v>52.336025748722321</v>
      </c>
      <c r="F57" s="166">
        <f t="shared" si="54"/>
        <v>47.838308330484821</v>
      </c>
      <c r="G57" s="165"/>
      <c r="H57" s="166">
        <f t="shared" si="55"/>
        <v>17.50666245872462</v>
      </c>
      <c r="I57" s="166">
        <f t="shared" si="55"/>
        <v>18.316843567871658</v>
      </c>
      <c r="J57" s="166">
        <f t="shared" si="55"/>
        <v>14.976024192054551</v>
      </c>
      <c r="K57" s="166">
        <f t="shared" si="55"/>
        <v>12.905149968073884</v>
      </c>
      <c r="L57" s="166">
        <f t="shared" si="55"/>
        <v>11.781306690276619</v>
      </c>
      <c r="M57" s="165"/>
      <c r="N57" s="166">
        <f t="shared" si="56"/>
        <v>52.490784426725781</v>
      </c>
      <c r="O57" s="166">
        <f t="shared" si="56"/>
        <v>55.568408217203867</v>
      </c>
      <c r="P57" s="166">
        <f t="shared" si="56"/>
        <v>45.851463593458497</v>
      </c>
      <c r="Q57" s="166">
        <f t="shared" si="56"/>
        <v>39.430875780648435</v>
      </c>
      <c r="R57" s="166">
        <f t="shared" si="56"/>
        <v>36.057001640208199</v>
      </c>
      <c r="S57" s="165"/>
      <c r="T57" s="166">
        <f t="shared" si="57"/>
        <v>0</v>
      </c>
      <c r="U57" s="166">
        <f t="shared" si="57"/>
        <v>0</v>
      </c>
      <c r="V57" s="166">
        <f t="shared" si="57"/>
        <v>0</v>
      </c>
      <c r="W57" s="166">
        <f t="shared" si="57"/>
        <v>0</v>
      </c>
      <c r="X57" s="166">
        <f t="shared" si="57"/>
        <v>0</v>
      </c>
      <c r="Y57" s="73" t="str">
        <f t="shared" si="58"/>
        <v>20-24</v>
      </c>
      <c r="Z57" s="166">
        <f t="shared" si="59"/>
        <v>200.63056393547677</v>
      </c>
      <c r="AA57" s="166">
        <f t="shared" si="59"/>
        <v>200.10878986052779</v>
      </c>
      <c r="AB57" s="166">
        <f t="shared" si="59"/>
        <v>192.82988811096317</v>
      </c>
      <c r="AC57" s="166">
        <f t="shared" si="59"/>
        <v>182.24243827723632</v>
      </c>
      <c r="AD57" s="166">
        <f t="shared" si="59"/>
        <v>183.10832552939812</v>
      </c>
      <c r="AE57" s="165"/>
      <c r="AF57" s="166">
        <f t="shared" si="60"/>
        <v>184.4013377657671</v>
      </c>
      <c r="AG57" s="166">
        <f t="shared" si="60"/>
        <v>183.88709709012173</v>
      </c>
      <c r="AH57" s="166">
        <f t="shared" si="60"/>
        <v>177.34938200988924</v>
      </c>
      <c r="AI57" s="166">
        <f t="shared" si="60"/>
        <v>167.58221623961009</v>
      </c>
      <c r="AJ57" s="166">
        <f t="shared" si="60"/>
        <v>168.42784713146324</v>
      </c>
      <c r="AK57" s="165"/>
      <c r="AL57" s="166">
        <f t="shared" si="61"/>
        <v>16.229226169709651</v>
      </c>
      <c r="AM57" s="166">
        <f t="shared" si="61"/>
        <v>16.221692770406051</v>
      </c>
      <c r="AN57" s="166">
        <f t="shared" si="61"/>
        <v>15.480506101073939</v>
      </c>
      <c r="AO57" s="166">
        <f t="shared" si="61"/>
        <v>14.660222037626259</v>
      </c>
      <c r="AP57" s="166">
        <f t="shared" si="61"/>
        <v>14.680478397934866</v>
      </c>
      <c r="AQ57" s="73" t="str">
        <f t="shared" si="62"/>
        <v>20-24</v>
      </c>
      <c r="AR57" s="166">
        <f t="shared" si="63"/>
        <v>100.04998917907284</v>
      </c>
      <c r="AS57" s="166">
        <f t="shared" si="63"/>
        <v>94.987958354396682</v>
      </c>
      <c r="AT57" s="166">
        <f t="shared" si="63"/>
        <v>103.98462410352381</v>
      </c>
      <c r="AU57" s="166">
        <f t="shared" si="63"/>
        <v>110.10453597404138</v>
      </c>
      <c r="AV57" s="166">
        <f t="shared" si="63"/>
        <v>122.21236614011708</v>
      </c>
      <c r="AW57" s="165"/>
      <c r="AX57" s="166">
        <f t="shared" si="64"/>
        <v>99.830703255982527</v>
      </c>
      <c r="AY57" s="166">
        <f t="shared" si="64"/>
        <v>94.78083623451991</v>
      </c>
      <c r="AZ57" s="166">
        <f t="shared" si="64"/>
        <v>103.75807484517797</v>
      </c>
      <c r="BA57" s="166">
        <f t="shared" si="64"/>
        <v>109.86373714713562</v>
      </c>
      <c r="BB57" s="166">
        <f t="shared" si="64"/>
        <v>121.94555113721529</v>
      </c>
      <c r="BC57" s="165"/>
      <c r="BD57" s="166">
        <f t="shared" si="65"/>
        <v>0.21928592309030701</v>
      </c>
      <c r="BE57" s="166">
        <f t="shared" si="65"/>
        <v>0.20712211987677406</v>
      </c>
      <c r="BF57" s="166">
        <f t="shared" si="65"/>
        <v>0.2265492583458453</v>
      </c>
      <c r="BG57" s="166">
        <f t="shared" si="65"/>
        <v>0.24079882690576235</v>
      </c>
      <c r="BH57" s="166">
        <f t="shared" si="65"/>
        <v>0.26681500290179178</v>
      </c>
    </row>
    <row r="58" spans="1:60">
      <c r="A58" s="73" t="str">
        <f t="shared" si="53"/>
        <v>25-29</v>
      </c>
      <c r="B58" s="166">
        <f t="shared" si="54"/>
        <v>83.10566032859262</v>
      </c>
      <c r="C58" s="166">
        <f t="shared" si="54"/>
        <v>92.922114197332945</v>
      </c>
      <c r="D58" s="166">
        <f t="shared" si="54"/>
        <v>81.756122550300972</v>
      </c>
      <c r="E58" s="166">
        <f t="shared" si="54"/>
        <v>81.088950586198422</v>
      </c>
      <c r="F58" s="166">
        <f t="shared" si="54"/>
        <v>71.085865926883031</v>
      </c>
      <c r="G58" s="165"/>
      <c r="H58" s="166">
        <f t="shared" si="55"/>
        <v>23.608107087454297</v>
      </c>
      <c r="I58" s="166">
        <f t="shared" si="55"/>
        <v>26.378552793035944</v>
      </c>
      <c r="J58" s="166">
        <f t="shared" si="55"/>
        <v>23.222779194804581</v>
      </c>
      <c r="K58" s="166">
        <f t="shared" si="55"/>
        <v>23.044303745971408</v>
      </c>
      <c r="L58" s="166">
        <f t="shared" si="55"/>
        <v>20.194793417876976</v>
      </c>
      <c r="M58" s="165"/>
      <c r="N58" s="166">
        <f t="shared" si="56"/>
        <v>59.49755324113832</v>
      </c>
      <c r="O58" s="166">
        <f t="shared" si="56"/>
        <v>66.543561404296995</v>
      </c>
      <c r="P58" s="166">
        <f t="shared" si="56"/>
        <v>58.533343355496399</v>
      </c>
      <c r="Q58" s="166">
        <f t="shared" si="56"/>
        <v>58.04464684022701</v>
      </c>
      <c r="R58" s="166">
        <f t="shared" si="56"/>
        <v>50.891072509006051</v>
      </c>
      <c r="S58" s="165"/>
      <c r="T58" s="166">
        <f t="shared" si="57"/>
        <v>0</v>
      </c>
      <c r="U58" s="166">
        <f t="shared" si="57"/>
        <v>0</v>
      </c>
      <c r="V58" s="166">
        <f t="shared" si="57"/>
        <v>0</v>
      </c>
      <c r="W58" s="166">
        <f t="shared" si="57"/>
        <v>0</v>
      </c>
      <c r="X58" s="166">
        <f t="shared" si="57"/>
        <v>0</v>
      </c>
      <c r="Y58" s="73" t="str">
        <f t="shared" si="58"/>
        <v>25-29</v>
      </c>
      <c r="Z58" s="166">
        <f t="shared" si="59"/>
        <v>253.52682972521137</v>
      </c>
      <c r="AA58" s="166">
        <f t="shared" si="59"/>
        <v>234.83645593614608</v>
      </c>
      <c r="AB58" s="166">
        <f t="shared" si="59"/>
        <v>239.38100582652388</v>
      </c>
      <c r="AC58" s="166">
        <f t="shared" si="59"/>
        <v>250.47379611646011</v>
      </c>
      <c r="AD58" s="166">
        <f t="shared" si="59"/>
        <v>242.75774055369266</v>
      </c>
      <c r="AE58" s="165"/>
      <c r="AF58" s="166">
        <f t="shared" si="60"/>
        <v>233.96361796129568</v>
      </c>
      <c r="AG58" s="166">
        <f t="shared" si="60"/>
        <v>216.69951214512702</v>
      </c>
      <c r="AH58" s="166">
        <f t="shared" si="60"/>
        <v>220.99938766367791</v>
      </c>
      <c r="AI58" s="166">
        <f t="shared" si="60"/>
        <v>231.32962388195671</v>
      </c>
      <c r="AJ58" s="166">
        <f t="shared" si="60"/>
        <v>224.27741219211396</v>
      </c>
      <c r="AK58" s="165"/>
      <c r="AL58" s="166">
        <f t="shared" si="61"/>
        <v>19.563211763915717</v>
      </c>
      <c r="AM58" s="166">
        <f t="shared" si="61"/>
        <v>18.13694379101905</v>
      </c>
      <c r="AN58" s="166">
        <f t="shared" si="61"/>
        <v>18.381618162845992</v>
      </c>
      <c r="AO58" s="166">
        <f t="shared" si="61"/>
        <v>19.144172234503415</v>
      </c>
      <c r="AP58" s="166">
        <f t="shared" si="61"/>
        <v>18.480328361578685</v>
      </c>
      <c r="AQ58" s="73" t="str">
        <f t="shared" si="62"/>
        <v>25-29</v>
      </c>
      <c r="AR58" s="166">
        <f t="shared" si="63"/>
        <v>268.657509946196</v>
      </c>
      <c r="AS58" s="166">
        <f t="shared" si="63"/>
        <v>278.23442986652105</v>
      </c>
      <c r="AT58" s="166">
        <f t="shared" si="63"/>
        <v>292.29787162317513</v>
      </c>
      <c r="AU58" s="166">
        <f t="shared" si="63"/>
        <v>322.87025329734149</v>
      </c>
      <c r="AV58" s="166">
        <f t="shared" si="63"/>
        <v>330.34739351942437</v>
      </c>
      <c r="AW58" s="165"/>
      <c r="AX58" s="166">
        <f t="shared" si="64"/>
        <v>266.3288913677211</v>
      </c>
      <c r="AY58" s="166">
        <f t="shared" si="64"/>
        <v>275.82018573820613</v>
      </c>
      <c r="AZ58" s="166">
        <f t="shared" si="64"/>
        <v>289.76922026464791</v>
      </c>
      <c r="BA58" s="166">
        <f t="shared" si="64"/>
        <v>320.08257546262871</v>
      </c>
      <c r="BB58" s="166">
        <f t="shared" si="64"/>
        <v>327.50130630655138</v>
      </c>
      <c r="BC58" s="165"/>
      <c r="BD58" s="166">
        <f t="shared" si="65"/>
        <v>2.3286185784749271</v>
      </c>
      <c r="BE58" s="166">
        <f t="shared" si="65"/>
        <v>2.414244128314877</v>
      </c>
      <c r="BF58" s="166">
        <f t="shared" si="65"/>
        <v>2.5286513585272092</v>
      </c>
      <c r="BG58" s="166">
        <f t="shared" si="65"/>
        <v>2.7876778347128019</v>
      </c>
      <c r="BH58" s="166">
        <f t="shared" si="65"/>
        <v>2.8460872128729875</v>
      </c>
    </row>
    <row r="59" spans="1:60">
      <c r="A59" s="73" t="str">
        <f t="shared" si="53"/>
        <v>30-34</v>
      </c>
      <c r="B59" s="166">
        <f t="shared" si="54"/>
        <v>88.294623576316411</v>
      </c>
      <c r="C59" s="166">
        <f t="shared" si="54"/>
        <v>89.184182813705448</v>
      </c>
      <c r="D59" s="166">
        <f t="shared" si="54"/>
        <v>78.82086492460455</v>
      </c>
      <c r="E59" s="166">
        <f t="shared" si="54"/>
        <v>73.409248466261431</v>
      </c>
      <c r="F59" s="166">
        <f t="shared" si="54"/>
        <v>62.433211012240555</v>
      </c>
      <c r="G59" s="165"/>
      <c r="H59" s="166">
        <f t="shared" si="55"/>
        <v>28.30985950772898</v>
      </c>
      <c r="I59" s="166">
        <f t="shared" si="55"/>
        <v>28.523912034677551</v>
      </c>
      <c r="J59" s="166">
        <f t="shared" si="55"/>
        <v>25.261997348079788</v>
      </c>
      <c r="K59" s="166">
        <f t="shared" si="55"/>
        <v>23.527246978251746</v>
      </c>
      <c r="L59" s="166">
        <f t="shared" si="55"/>
        <v>20.017532858379102</v>
      </c>
      <c r="M59" s="165"/>
      <c r="N59" s="166">
        <f t="shared" si="56"/>
        <v>59.984764068587438</v>
      </c>
      <c r="O59" s="166">
        <f t="shared" si="56"/>
        <v>60.660270779027904</v>
      </c>
      <c r="P59" s="166">
        <f t="shared" si="56"/>
        <v>53.558867576524761</v>
      </c>
      <c r="Q59" s="166">
        <f t="shared" si="56"/>
        <v>49.882001488009664</v>
      </c>
      <c r="R59" s="166">
        <f t="shared" si="56"/>
        <v>42.41567815386145</v>
      </c>
      <c r="S59" s="165"/>
      <c r="T59" s="166">
        <f t="shared" si="57"/>
        <v>0</v>
      </c>
      <c r="U59" s="166">
        <f t="shared" si="57"/>
        <v>0</v>
      </c>
      <c r="V59" s="166">
        <f t="shared" si="57"/>
        <v>0</v>
      </c>
      <c r="W59" s="166">
        <f t="shared" si="57"/>
        <v>0</v>
      </c>
      <c r="X59" s="166">
        <f t="shared" si="57"/>
        <v>0</v>
      </c>
      <c r="Y59" s="73" t="str">
        <f t="shared" si="58"/>
        <v>30-34</v>
      </c>
      <c r="Z59" s="166">
        <f t="shared" si="59"/>
        <v>252.02853262692997</v>
      </c>
      <c r="AA59" s="166">
        <f t="shared" si="59"/>
        <v>241.95757229192009</v>
      </c>
      <c r="AB59" s="166">
        <f t="shared" si="59"/>
        <v>250.36416862690376</v>
      </c>
      <c r="AC59" s="166">
        <f t="shared" si="59"/>
        <v>260.01917178438288</v>
      </c>
      <c r="AD59" s="166">
        <f t="shared" si="59"/>
        <v>277.87154542964436</v>
      </c>
      <c r="AE59" s="165"/>
      <c r="AF59" s="166">
        <f t="shared" si="60"/>
        <v>233.37617479742303</v>
      </c>
      <c r="AG59" s="166">
        <f t="shared" si="60"/>
        <v>224.1436906659363</v>
      </c>
      <c r="AH59" s="166">
        <f t="shared" si="60"/>
        <v>231.98013090632361</v>
      </c>
      <c r="AI59" s="166">
        <f t="shared" si="60"/>
        <v>240.99879756210669</v>
      </c>
      <c r="AJ59" s="166">
        <f t="shared" si="60"/>
        <v>257.66322853004982</v>
      </c>
      <c r="AK59" s="165"/>
      <c r="AL59" s="166">
        <f t="shared" si="61"/>
        <v>18.65235782950694</v>
      </c>
      <c r="AM59" s="166">
        <f t="shared" si="61"/>
        <v>17.813881625983782</v>
      </c>
      <c r="AN59" s="166">
        <f t="shared" si="61"/>
        <v>18.384037720580174</v>
      </c>
      <c r="AO59" s="166">
        <f t="shared" si="61"/>
        <v>19.02037422227616</v>
      </c>
      <c r="AP59" s="166">
        <f t="shared" si="61"/>
        <v>20.208316899594564</v>
      </c>
      <c r="AQ59" s="73" t="str">
        <f t="shared" si="62"/>
        <v>30-34</v>
      </c>
      <c r="AR59" s="166">
        <f t="shared" si="63"/>
        <v>280.69384379675364</v>
      </c>
      <c r="AS59" s="166">
        <f t="shared" si="63"/>
        <v>298.74624489437451</v>
      </c>
      <c r="AT59" s="166">
        <f t="shared" si="63"/>
        <v>315.83096644849167</v>
      </c>
      <c r="AU59" s="166">
        <f t="shared" si="63"/>
        <v>342.31857974935576</v>
      </c>
      <c r="AV59" s="166">
        <f t="shared" si="63"/>
        <v>384.08524355811511</v>
      </c>
      <c r="AW59" s="165"/>
      <c r="AX59" s="166">
        <f t="shared" si="64"/>
        <v>275.62991148902091</v>
      </c>
      <c r="AY59" s="166">
        <f t="shared" si="64"/>
        <v>293.35345054546065</v>
      </c>
      <c r="AZ59" s="166">
        <f t="shared" si="64"/>
        <v>310.17909296528001</v>
      </c>
      <c r="BA59" s="166">
        <f t="shared" si="64"/>
        <v>336.2348278556392</v>
      </c>
      <c r="BB59" s="166">
        <f t="shared" si="64"/>
        <v>377.23616137901718</v>
      </c>
      <c r="BC59" s="165"/>
      <c r="BD59" s="166">
        <f t="shared" si="65"/>
        <v>5.063932307732685</v>
      </c>
      <c r="BE59" s="166">
        <f t="shared" si="65"/>
        <v>5.3927943489138421</v>
      </c>
      <c r="BF59" s="166">
        <f t="shared" si="65"/>
        <v>5.6518734832116824</v>
      </c>
      <c r="BG59" s="166">
        <f t="shared" si="65"/>
        <v>6.0837518937165616</v>
      </c>
      <c r="BH59" s="166">
        <f t="shared" si="65"/>
        <v>6.8490821790979144</v>
      </c>
    </row>
    <row r="60" spans="1:60">
      <c r="A60" s="73" t="str">
        <f t="shared" si="53"/>
        <v>35-39</v>
      </c>
      <c r="B60" s="166">
        <f t="shared" si="54"/>
        <v>116.40573165092457</v>
      </c>
      <c r="C60" s="166">
        <f t="shared" si="54"/>
        <v>111.62087650319086</v>
      </c>
      <c r="D60" s="166">
        <f t="shared" si="54"/>
        <v>87.010674497835979</v>
      </c>
      <c r="E60" s="166">
        <f t="shared" si="54"/>
        <v>72.169455639072808</v>
      </c>
      <c r="F60" s="166">
        <f t="shared" si="54"/>
        <v>56.078787071994824</v>
      </c>
      <c r="G60" s="165"/>
      <c r="H60" s="166">
        <f t="shared" si="55"/>
        <v>35.263117567908004</v>
      </c>
      <c r="I60" s="166">
        <f t="shared" si="55"/>
        <v>33.826936328651151</v>
      </c>
      <c r="J60" s="166">
        <f t="shared" si="55"/>
        <v>26.372888660399127</v>
      </c>
      <c r="K60" s="166">
        <f t="shared" si="55"/>
        <v>21.873558995262968</v>
      </c>
      <c r="L60" s="166">
        <f t="shared" si="55"/>
        <v>16.999346797068803</v>
      </c>
      <c r="M60" s="165"/>
      <c r="N60" s="166">
        <f t="shared" si="56"/>
        <v>81.142614083016582</v>
      </c>
      <c r="O60" s="166">
        <f t="shared" si="56"/>
        <v>77.793940174539699</v>
      </c>
      <c r="P60" s="166">
        <f t="shared" si="56"/>
        <v>60.637785837436844</v>
      </c>
      <c r="Q60" s="166">
        <f t="shared" si="56"/>
        <v>50.29589664380984</v>
      </c>
      <c r="R60" s="166">
        <f t="shared" si="56"/>
        <v>39.079440274926021</v>
      </c>
      <c r="S60" s="165"/>
      <c r="T60" s="166">
        <f t="shared" si="57"/>
        <v>0</v>
      </c>
      <c r="U60" s="166">
        <f t="shared" si="57"/>
        <v>0</v>
      </c>
      <c r="V60" s="166">
        <f t="shared" si="57"/>
        <v>0</v>
      </c>
      <c r="W60" s="166">
        <f t="shared" si="57"/>
        <v>0</v>
      </c>
      <c r="X60" s="166">
        <f t="shared" si="57"/>
        <v>0</v>
      </c>
      <c r="Y60" s="73" t="str">
        <f t="shared" si="58"/>
        <v>35-39</v>
      </c>
      <c r="Z60" s="166">
        <f t="shared" si="59"/>
        <v>292.69516984616689</v>
      </c>
      <c r="AA60" s="166">
        <f t="shared" si="59"/>
        <v>264.43124011815416</v>
      </c>
      <c r="AB60" s="166">
        <f t="shared" si="59"/>
        <v>249.36383456629306</v>
      </c>
      <c r="AC60" s="166">
        <f t="shared" si="59"/>
        <v>265.62693121403328</v>
      </c>
      <c r="AD60" s="166">
        <f t="shared" si="59"/>
        <v>281.01300955525153</v>
      </c>
      <c r="AE60" s="165"/>
      <c r="AF60" s="166">
        <f t="shared" si="60"/>
        <v>274.90708265744615</v>
      </c>
      <c r="AG60" s="166">
        <f t="shared" si="60"/>
        <v>248.33674178769135</v>
      </c>
      <c r="AH60" s="166">
        <f t="shared" si="60"/>
        <v>234.22524163699583</v>
      </c>
      <c r="AI60" s="166">
        <f t="shared" si="60"/>
        <v>249.52613818829445</v>
      </c>
      <c r="AJ60" s="166">
        <f t="shared" si="60"/>
        <v>264.00561865600736</v>
      </c>
      <c r="AK60" s="165"/>
      <c r="AL60" s="166">
        <f t="shared" si="61"/>
        <v>17.788087188720716</v>
      </c>
      <c r="AM60" s="166">
        <f t="shared" si="61"/>
        <v>16.094498330462777</v>
      </c>
      <c r="AN60" s="166">
        <f t="shared" si="61"/>
        <v>15.138592929297266</v>
      </c>
      <c r="AO60" s="166">
        <f t="shared" si="61"/>
        <v>16.100793025738767</v>
      </c>
      <c r="AP60" s="166">
        <f t="shared" si="61"/>
        <v>17.007390899244211</v>
      </c>
      <c r="AQ60" s="73" t="str">
        <f t="shared" si="62"/>
        <v>35-39</v>
      </c>
      <c r="AR60" s="166">
        <f t="shared" si="63"/>
        <v>271.17009850290862</v>
      </c>
      <c r="AS60" s="166">
        <f t="shared" si="63"/>
        <v>299.350883378655</v>
      </c>
      <c r="AT60" s="166">
        <f t="shared" si="63"/>
        <v>309.54249093587089</v>
      </c>
      <c r="AU60" s="166">
        <f t="shared" si="63"/>
        <v>347.30661314689394</v>
      </c>
      <c r="AV60" s="166">
        <f t="shared" si="63"/>
        <v>383.85620337275361</v>
      </c>
      <c r="AW60" s="165"/>
      <c r="AX60" s="166">
        <f t="shared" si="64"/>
        <v>266.39031937491359</v>
      </c>
      <c r="AY60" s="166">
        <f t="shared" si="64"/>
        <v>294.09970734798696</v>
      </c>
      <c r="AZ60" s="166">
        <f t="shared" si="64"/>
        <v>304.18685308252333</v>
      </c>
      <c r="BA60" s="166">
        <f t="shared" si="64"/>
        <v>341.32613291295013</v>
      </c>
      <c r="BB60" s="166">
        <f t="shared" si="64"/>
        <v>377.26357305597628</v>
      </c>
      <c r="BC60" s="165"/>
      <c r="BD60" s="166">
        <f t="shared" si="65"/>
        <v>4.7797791279950284</v>
      </c>
      <c r="BE60" s="166">
        <f t="shared" si="65"/>
        <v>5.2511760306679776</v>
      </c>
      <c r="BF60" s="166">
        <f t="shared" si="65"/>
        <v>5.3556378533475719</v>
      </c>
      <c r="BG60" s="166">
        <f t="shared" si="65"/>
        <v>5.9804802339438368</v>
      </c>
      <c r="BH60" s="166">
        <f t="shared" si="65"/>
        <v>6.5926303167773872</v>
      </c>
    </row>
    <row r="61" spans="1:60">
      <c r="A61" s="73" t="str">
        <f t="shared" si="53"/>
        <v>40-44</v>
      </c>
      <c r="B61" s="166">
        <f t="shared" si="54"/>
        <v>156.26741886428681</v>
      </c>
      <c r="C61" s="166">
        <f t="shared" si="54"/>
        <v>138.06633532257501</v>
      </c>
      <c r="D61" s="166">
        <f t="shared" si="54"/>
        <v>102.04230405027101</v>
      </c>
      <c r="E61" s="166">
        <f t="shared" si="54"/>
        <v>72.607670352464169</v>
      </c>
      <c r="F61" s="166">
        <f t="shared" si="54"/>
        <v>53.870397558877769</v>
      </c>
      <c r="G61" s="165"/>
      <c r="H61" s="166">
        <f t="shared" si="55"/>
        <v>49.7957894254127</v>
      </c>
      <c r="I61" s="166">
        <f t="shared" si="55"/>
        <v>43.898270250594351</v>
      </c>
      <c r="J61" s="166">
        <f t="shared" si="55"/>
        <v>32.409044993954737</v>
      </c>
      <c r="K61" s="166">
        <f t="shared" si="55"/>
        <v>23.036152368803652</v>
      </c>
      <c r="L61" s="166">
        <f t="shared" si="55"/>
        <v>17.053911147098564</v>
      </c>
      <c r="M61" s="165"/>
      <c r="N61" s="166">
        <f t="shared" si="56"/>
        <v>106.47162943887409</v>
      </c>
      <c r="O61" s="166">
        <f t="shared" si="56"/>
        <v>94.168065071980649</v>
      </c>
      <c r="P61" s="166">
        <f t="shared" si="56"/>
        <v>69.633259056316291</v>
      </c>
      <c r="Q61" s="166">
        <f t="shared" si="56"/>
        <v>49.571517983660513</v>
      </c>
      <c r="R61" s="166">
        <f t="shared" si="56"/>
        <v>36.816486411779202</v>
      </c>
      <c r="S61" s="165"/>
      <c r="T61" s="166">
        <f t="shared" si="57"/>
        <v>0</v>
      </c>
      <c r="U61" s="166">
        <f t="shared" si="57"/>
        <v>0</v>
      </c>
      <c r="V61" s="166">
        <f t="shared" si="57"/>
        <v>0</v>
      </c>
      <c r="W61" s="166">
        <f t="shared" si="57"/>
        <v>0</v>
      </c>
      <c r="X61" s="166">
        <f t="shared" si="57"/>
        <v>0</v>
      </c>
      <c r="Y61" s="73" t="str">
        <f t="shared" si="58"/>
        <v>40-44</v>
      </c>
      <c r="Z61" s="166">
        <f t="shared" si="59"/>
        <v>297.53049844792429</v>
      </c>
      <c r="AA61" s="166">
        <f t="shared" si="59"/>
        <v>279.21152782576593</v>
      </c>
      <c r="AB61" s="166">
        <f t="shared" si="59"/>
        <v>264.15997152705989</v>
      </c>
      <c r="AC61" s="166">
        <f t="shared" si="59"/>
        <v>265.769688987834</v>
      </c>
      <c r="AD61" s="166">
        <f t="shared" si="59"/>
        <v>285.38300501207038</v>
      </c>
      <c r="AE61" s="165"/>
      <c r="AF61" s="166">
        <f t="shared" si="60"/>
        <v>281.6051488677208</v>
      </c>
      <c r="AG61" s="166">
        <f t="shared" si="60"/>
        <v>264.27565335337636</v>
      </c>
      <c r="AH61" s="166">
        <f t="shared" si="60"/>
        <v>250.06064702096575</v>
      </c>
      <c r="AI61" s="166">
        <f t="shared" si="60"/>
        <v>251.59948400746447</v>
      </c>
      <c r="AJ61" s="166">
        <f t="shared" si="60"/>
        <v>270.1868670204085</v>
      </c>
      <c r="AK61" s="165"/>
      <c r="AL61" s="166">
        <f t="shared" si="61"/>
        <v>15.925349580203488</v>
      </c>
      <c r="AM61" s="166">
        <f t="shared" si="61"/>
        <v>14.935874472389486</v>
      </c>
      <c r="AN61" s="166">
        <f t="shared" si="61"/>
        <v>14.099324506094138</v>
      </c>
      <c r="AO61" s="166">
        <f t="shared" si="61"/>
        <v>14.170204980369528</v>
      </c>
      <c r="AP61" s="166">
        <f t="shared" si="61"/>
        <v>15.196137991661878</v>
      </c>
      <c r="AQ61" s="73" t="str">
        <f t="shared" si="62"/>
        <v>40-44</v>
      </c>
      <c r="AR61" s="166">
        <f t="shared" si="63"/>
        <v>254.53008268778893</v>
      </c>
      <c r="AS61" s="166">
        <f t="shared" si="63"/>
        <v>277.04113685165908</v>
      </c>
      <c r="AT61" s="166">
        <f t="shared" si="63"/>
        <v>302.03972442266905</v>
      </c>
      <c r="AU61" s="166">
        <f t="shared" si="63"/>
        <v>315.32964065970185</v>
      </c>
      <c r="AV61" s="166">
        <f t="shared" si="63"/>
        <v>349.0545974290518</v>
      </c>
      <c r="AW61" s="165"/>
      <c r="AX61" s="166">
        <f t="shared" si="64"/>
        <v>250.24828407721705</v>
      </c>
      <c r="AY61" s="166">
        <f t="shared" si="64"/>
        <v>272.4224484468516</v>
      </c>
      <c r="AZ61" s="166">
        <f t="shared" si="64"/>
        <v>297.01618494130969</v>
      </c>
      <c r="BA61" s="166">
        <f t="shared" si="64"/>
        <v>310.0976851562209</v>
      </c>
      <c r="BB61" s="166">
        <f t="shared" si="64"/>
        <v>343.26501484324086</v>
      </c>
      <c r="BC61" s="165"/>
      <c r="BD61" s="166">
        <f t="shared" si="65"/>
        <v>4.2817986105719035</v>
      </c>
      <c r="BE61" s="166">
        <f t="shared" si="65"/>
        <v>4.6186884048075676</v>
      </c>
      <c r="BF61" s="166">
        <f t="shared" si="65"/>
        <v>5.0235394813593235</v>
      </c>
      <c r="BG61" s="166">
        <f t="shared" si="65"/>
        <v>5.2319555034809255</v>
      </c>
      <c r="BH61" s="166">
        <f t="shared" si="65"/>
        <v>5.7895825858109662</v>
      </c>
    </row>
    <row r="62" spans="1:60">
      <c r="A62" s="73" t="str">
        <f t="shared" si="53"/>
        <v>45-49</v>
      </c>
      <c r="B62" s="166">
        <f t="shared" si="54"/>
        <v>192.10532237663983</v>
      </c>
      <c r="C62" s="166">
        <f t="shared" si="54"/>
        <v>181.7014990686323</v>
      </c>
      <c r="D62" s="166">
        <f t="shared" si="54"/>
        <v>125.84366969436242</v>
      </c>
      <c r="E62" s="166">
        <f t="shared" si="54"/>
        <v>94.413771810554039</v>
      </c>
      <c r="F62" s="166">
        <f t="shared" si="54"/>
        <v>69.482068956144474</v>
      </c>
      <c r="G62" s="165"/>
      <c r="H62" s="166">
        <f t="shared" si="55"/>
        <v>63.114524104301118</v>
      </c>
      <c r="I62" s="166">
        <f t="shared" si="55"/>
        <v>59.680357878773279</v>
      </c>
      <c r="J62" s="166">
        <f t="shared" si="55"/>
        <v>41.135830568231285</v>
      </c>
      <c r="K62" s="166">
        <f t="shared" si="55"/>
        <v>30.734675124538327</v>
      </c>
      <c r="L62" s="166">
        <f t="shared" si="55"/>
        <v>22.525760365918362</v>
      </c>
      <c r="M62" s="165"/>
      <c r="N62" s="166">
        <f t="shared" si="56"/>
        <v>128.99079827233871</v>
      </c>
      <c r="O62" s="166">
        <f t="shared" si="56"/>
        <v>122.02114118985901</v>
      </c>
      <c r="P62" s="166">
        <f t="shared" si="56"/>
        <v>84.707839126131134</v>
      </c>
      <c r="Q62" s="166">
        <f t="shared" si="56"/>
        <v>63.679096686015725</v>
      </c>
      <c r="R62" s="166">
        <f t="shared" si="56"/>
        <v>46.956308590226101</v>
      </c>
      <c r="S62" s="165"/>
      <c r="T62" s="166">
        <f t="shared" si="57"/>
        <v>0</v>
      </c>
      <c r="U62" s="166">
        <f t="shared" si="57"/>
        <v>0</v>
      </c>
      <c r="V62" s="166">
        <f t="shared" si="57"/>
        <v>0</v>
      </c>
      <c r="W62" s="166">
        <f t="shared" si="57"/>
        <v>0</v>
      </c>
      <c r="X62" s="166">
        <f t="shared" si="57"/>
        <v>0</v>
      </c>
      <c r="Y62" s="73" t="str">
        <f t="shared" si="58"/>
        <v>45-49</v>
      </c>
      <c r="Z62" s="166">
        <f t="shared" si="59"/>
        <v>259.3931665564873</v>
      </c>
      <c r="AA62" s="166">
        <f t="shared" si="59"/>
        <v>259.85569110569543</v>
      </c>
      <c r="AB62" s="166">
        <f t="shared" si="59"/>
        <v>276.06033600610709</v>
      </c>
      <c r="AC62" s="166">
        <f t="shared" si="59"/>
        <v>283.54672387522641</v>
      </c>
      <c r="AD62" s="166">
        <f t="shared" si="59"/>
        <v>287.849736988811</v>
      </c>
      <c r="AE62" s="165"/>
      <c r="AF62" s="166">
        <f t="shared" si="60"/>
        <v>247.30603323034916</v>
      </c>
      <c r="AG62" s="166">
        <f t="shared" si="60"/>
        <v>247.7788871489098</v>
      </c>
      <c r="AH62" s="166">
        <f t="shared" si="60"/>
        <v>263.21646229283618</v>
      </c>
      <c r="AI62" s="166">
        <f t="shared" si="60"/>
        <v>270.34872282364341</v>
      </c>
      <c r="AJ62" s="166">
        <f t="shared" si="60"/>
        <v>274.44279780539426</v>
      </c>
      <c r="AK62" s="165"/>
      <c r="AL62" s="166">
        <f t="shared" si="61"/>
        <v>12.087133326138117</v>
      </c>
      <c r="AM62" s="166">
        <f t="shared" si="61"/>
        <v>12.076803956785602</v>
      </c>
      <c r="AN62" s="166">
        <f t="shared" si="61"/>
        <v>12.84387371327092</v>
      </c>
      <c r="AO62" s="166">
        <f t="shared" si="61"/>
        <v>13.198001051582985</v>
      </c>
      <c r="AP62" s="166">
        <f t="shared" si="61"/>
        <v>13.40693918341676</v>
      </c>
      <c r="AQ62" s="73" t="str">
        <f t="shared" si="62"/>
        <v>45-49</v>
      </c>
      <c r="AR62" s="166">
        <f t="shared" si="63"/>
        <v>233.19851106687287</v>
      </c>
      <c r="AS62" s="166">
        <f t="shared" si="63"/>
        <v>255.42780982567223</v>
      </c>
      <c r="AT62" s="166">
        <f t="shared" si="63"/>
        <v>278.84899429953055</v>
      </c>
      <c r="AU62" s="166">
        <f t="shared" si="63"/>
        <v>292.33350431421957</v>
      </c>
      <c r="AV62" s="166">
        <f t="shared" si="63"/>
        <v>302.44819405504461</v>
      </c>
      <c r="AW62" s="165"/>
      <c r="AX62" s="166">
        <f t="shared" si="64"/>
        <v>228.81453920689103</v>
      </c>
      <c r="AY62" s="166">
        <f t="shared" si="64"/>
        <v>250.65558136759938</v>
      </c>
      <c r="AZ62" s="166">
        <f t="shared" si="64"/>
        <v>273.711876568962</v>
      </c>
      <c r="BA62" s="166">
        <f t="shared" si="64"/>
        <v>286.97795838324782</v>
      </c>
      <c r="BB62" s="166">
        <f t="shared" si="64"/>
        <v>296.93591992657696</v>
      </c>
      <c r="BC62" s="165"/>
      <c r="BD62" s="166">
        <f t="shared" si="65"/>
        <v>4.3839718599818829</v>
      </c>
      <c r="BE62" s="166">
        <f t="shared" si="65"/>
        <v>4.7722284580728216</v>
      </c>
      <c r="BF62" s="166">
        <f t="shared" si="65"/>
        <v>5.1371177305685114</v>
      </c>
      <c r="BG62" s="166">
        <f t="shared" si="65"/>
        <v>5.3555459309717897</v>
      </c>
      <c r="BH62" s="166">
        <f t="shared" si="65"/>
        <v>5.5122741284676167</v>
      </c>
    </row>
    <row r="63" spans="1:60">
      <c r="A63" s="73" t="str">
        <f t="shared" si="53"/>
        <v>50-54</v>
      </c>
      <c r="B63" s="166">
        <f t="shared" si="54"/>
        <v>185.40604857322711</v>
      </c>
      <c r="C63" s="166">
        <f t="shared" si="54"/>
        <v>192.72292557560411</v>
      </c>
      <c r="D63" s="166">
        <f t="shared" si="54"/>
        <v>162.16719193834749</v>
      </c>
      <c r="E63" s="166">
        <f t="shared" si="54"/>
        <v>133.41410305220273</v>
      </c>
      <c r="F63" s="166">
        <f t="shared" si="54"/>
        <v>106.3528116102037</v>
      </c>
      <c r="G63" s="165"/>
      <c r="H63" s="166">
        <f t="shared" si="55"/>
        <v>66.691082872087563</v>
      </c>
      <c r="I63" s="166">
        <f t="shared" si="55"/>
        <v>69.308339401755902</v>
      </c>
      <c r="J63" s="166">
        <f t="shared" si="55"/>
        <v>58.294203339386414</v>
      </c>
      <c r="K63" s="166">
        <f t="shared" si="55"/>
        <v>47.904759864066669</v>
      </c>
      <c r="L63" s="166">
        <f t="shared" si="55"/>
        <v>38.151642732729172</v>
      </c>
      <c r="M63" s="165"/>
      <c r="N63" s="166">
        <f t="shared" si="56"/>
        <v>118.71496570113956</v>
      </c>
      <c r="O63" s="166">
        <f t="shared" si="56"/>
        <v>123.41458617384822</v>
      </c>
      <c r="P63" s="166">
        <f t="shared" si="56"/>
        <v>103.87298859896106</v>
      </c>
      <c r="Q63" s="166">
        <f t="shared" si="56"/>
        <v>85.509343188136071</v>
      </c>
      <c r="R63" s="166">
        <f t="shared" si="56"/>
        <v>68.201168877474544</v>
      </c>
      <c r="S63" s="165"/>
      <c r="T63" s="166">
        <f t="shared" si="57"/>
        <v>0</v>
      </c>
      <c r="U63" s="166">
        <f t="shared" si="57"/>
        <v>0</v>
      </c>
      <c r="V63" s="166">
        <f t="shared" si="57"/>
        <v>0</v>
      </c>
      <c r="W63" s="166">
        <f t="shared" si="57"/>
        <v>0</v>
      </c>
      <c r="X63" s="166">
        <f t="shared" si="57"/>
        <v>0</v>
      </c>
      <c r="Y63" s="73" t="str">
        <f t="shared" si="58"/>
        <v>50-54</v>
      </c>
      <c r="Z63" s="166">
        <f t="shared" si="59"/>
        <v>200.15705088001573</v>
      </c>
      <c r="AA63" s="166">
        <f t="shared" si="59"/>
        <v>218.54573674510601</v>
      </c>
      <c r="AB63" s="166">
        <f t="shared" si="59"/>
        <v>239.21960647496348</v>
      </c>
      <c r="AC63" s="166">
        <f t="shared" si="59"/>
        <v>257.81605841504751</v>
      </c>
      <c r="AD63" s="166">
        <f t="shared" si="59"/>
        <v>271.65581059286012</v>
      </c>
      <c r="AE63" s="165"/>
      <c r="AF63" s="166">
        <f t="shared" si="60"/>
        <v>190.04078964826027</v>
      </c>
      <c r="AG63" s="166">
        <f t="shared" si="60"/>
        <v>207.46488432579588</v>
      </c>
      <c r="AH63" s="166">
        <f t="shared" si="60"/>
        <v>227.09664617165495</v>
      </c>
      <c r="AI63" s="166">
        <f t="shared" si="60"/>
        <v>244.71475666454</v>
      </c>
      <c r="AJ63" s="166">
        <f t="shared" si="60"/>
        <v>257.79476785525156</v>
      </c>
      <c r="AK63" s="165"/>
      <c r="AL63" s="166">
        <f t="shared" si="61"/>
        <v>10.116261231755457</v>
      </c>
      <c r="AM63" s="166">
        <f t="shared" si="61"/>
        <v>11.080852419310158</v>
      </c>
      <c r="AN63" s="166">
        <f t="shared" si="61"/>
        <v>12.122960303308531</v>
      </c>
      <c r="AO63" s="166">
        <f t="shared" si="61"/>
        <v>13.101301750507519</v>
      </c>
      <c r="AP63" s="166">
        <f t="shared" si="61"/>
        <v>13.861042737608585</v>
      </c>
      <c r="AQ63" s="73" t="str">
        <f t="shared" si="62"/>
        <v>50-54</v>
      </c>
      <c r="AR63" s="166">
        <f t="shared" si="63"/>
        <v>172.51190054675715</v>
      </c>
      <c r="AS63" s="166">
        <f t="shared" si="63"/>
        <v>201.44733767928977</v>
      </c>
      <c r="AT63" s="166">
        <f t="shared" si="63"/>
        <v>243.89220158668905</v>
      </c>
      <c r="AU63" s="166">
        <f t="shared" si="63"/>
        <v>263.09583853274978</v>
      </c>
      <c r="AV63" s="166">
        <f t="shared" si="63"/>
        <v>278.2843777969361</v>
      </c>
      <c r="AW63" s="165"/>
      <c r="AX63" s="166">
        <f t="shared" si="64"/>
        <v>168.88787751101148</v>
      </c>
      <c r="AY63" s="166">
        <f t="shared" si="64"/>
        <v>197.35794837642953</v>
      </c>
      <c r="AZ63" s="166">
        <f t="shared" si="64"/>
        <v>238.9340888070729</v>
      </c>
      <c r="BA63" s="166">
        <f t="shared" si="64"/>
        <v>257.81671276903228</v>
      </c>
      <c r="BB63" s="166">
        <f t="shared" si="64"/>
        <v>272.79729732120262</v>
      </c>
      <c r="BC63" s="165"/>
      <c r="BD63" s="166">
        <f t="shared" si="65"/>
        <v>3.6240230357456578</v>
      </c>
      <c r="BE63" s="166">
        <f t="shared" si="65"/>
        <v>4.0893893028602495</v>
      </c>
      <c r="BF63" s="166">
        <f t="shared" si="65"/>
        <v>4.958112779616183</v>
      </c>
      <c r="BG63" s="166">
        <f t="shared" si="65"/>
        <v>5.2791257637175608</v>
      </c>
      <c r="BH63" s="166">
        <f t="shared" si="65"/>
        <v>5.4870804757334763</v>
      </c>
    </row>
    <row r="64" spans="1:60">
      <c r="A64" s="73" t="str">
        <f t="shared" si="53"/>
        <v>55-59</v>
      </c>
      <c r="B64" s="166">
        <f t="shared" si="54"/>
        <v>118.1352024705036</v>
      </c>
      <c r="C64" s="166">
        <f t="shared" si="54"/>
        <v>125.51688761373863</v>
      </c>
      <c r="D64" s="166">
        <f t="shared" si="54"/>
        <v>135.69347634171973</v>
      </c>
      <c r="E64" s="166">
        <f t="shared" si="54"/>
        <v>127.61999627132217</v>
      </c>
      <c r="F64" s="166">
        <f t="shared" si="54"/>
        <v>103.83680807778796</v>
      </c>
      <c r="G64" s="165"/>
      <c r="H64" s="166">
        <f t="shared" si="55"/>
        <v>47.020085047969616</v>
      </c>
      <c r="I64" s="166">
        <f t="shared" si="55"/>
        <v>49.942017947737568</v>
      </c>
      <c r="J64" s="166">
        <f t="shared" si="55"/>
        <v>53.996980542501134</v>
      </c>
      <c r="K64" s="166">
        <f t="shared" si="55"/>
        <v>50.765369807184982</v>
      </c>
      <c r="L64" s="166">
        <f t="shared" si="55"/>
        <v>41.29898124275995</v>
      </c>
      <c r="M64" s="165"/>
      <c r="N64" s="166">
        <f t="shared" si="56"/>
        <v>71.115117422534013</v>
      </c>
      <c r="O64" s="166">
        <f t="shared" si="56"/>
        <v>75.574869666001078</v>
      </c>
      <c r="P64" s="166">
        <f t="shared" si="56"/>
        <v>81.696495799218582</v>
      </c>
      <c r="Q64" s="166">
        <f t="shared" si="56"/>
        <v>76.854626464137169</v>
      </c>
      <c r="R64" s="166">
        <f t="shared" si="56"/>
        <v>62.537826835028014</v>
      </c>
      <c r="S64" s="165"/>
      <c r="T64" s="166">
        <f t="shared" si="57"/>
        <v>0</v>
      </c>
      <c r="U64" s="166">
        <f t="shared" si="57"/>
        <v>0</v>
      </c>
      <c r="V64" s="166">
        <f t="shared" si="57"/>
        <v>0</v>
      </c>
      <c r="W64" s="166">
        <f t="shared" si="57"/>
        <v>0</v>
      </c>
      <c r="X64" s="166">
        <f t="shared" si="57"/>
        <v>0</v>
      </c>
      <c r="Y64" s="73" t="str">
        <f t="shared" si="58"/>
        <v>55-59</v>
      </c>
      <c r="Z64" s="166">
        <f t="shared" si="59"/>
        <v>122.81319674265731</v>
      </c>
      <c r="AA64" s="166">
        <f t="shared" si="59"/>
        <v>127.76576484388534</v>
      </c>
      <c r="AB64" s="166">
        <f t="shared" si="59"/>
        <v>167.56934646025536</v>
      </c>
      <c r="AC64" s="166">
        <f t="shared" si="59"/>
        <v>201.55893986495374</v>
      </c>
      <c r="AD64" s="166">
        <f t="shared" si="59"/>
        <v>218.03560485524812</v>
      </c>
      <c r="AE64" s="165"/>
      <c r="AF64" s="166">
        <f t="shared" si="60"/>
        <v>115.33146461461402</v>
      </c>
      <c r="AG64" s="166">
        <f t="shared" si="60"/>
        <v>119.93869463814224</v>
      </c>
      <c r="AH64" s="166">
        <f t="shared" si="60"/>
        <v>157.20305952301629</v>
      </c>
      <c r="AI64" s="166">
        <f t="shared" si="60"/>
        <v>189.09467188304029</v>
      </c>
      <c r="AJ64" s="166">
        <f t="shared" si="60"/>
        <v>204.52603798057652</v>
      </c>
      <c r="AK64" s="165"/>
      <c r="AL64" s="166">
        <f t="shared" si="61"/>
        <v>7.4817321280432685</v>
      </c>
      <c r="AM64" s="166">
        <f t="shared" si="61"/>
        <v>7.8270702057431016</v>
      </c>
      <c r="AN64" s="166">
        <f t="shared" si="61"/>
        <v>10.366286937239055</v>
      </c>
      <c r="AO64" s="166">
        <f t="shared" si="61"/>
        <v>12.464267981913423</v>
      </c>
      <c r="AP64" s="166">
        <f t="shared" si="61"/>
        <v>13.509566874671609</v>
      </c>
      <c r="AQ64" s="73" t="str">
        <f t="shared" si="62"/>
        <v>55-59</v>
      </c>
      <c r="AR64" s="166">
        <f t="shared" si="63"/>
        <v>115.94160078683907</v>
      </c>
      <c r="AS64" s="166">
        <f t="shared" si="63"/>
        <v>135.51634754237602</v>
      </c>
      <c r="AT64" s="166">
        <f t="shared" si="63"/>
        <v>177.65217719802493</v>
      </c>
      <c r="AU64" s="166">
        <f t="shared" si="63"/>
        <v>208.31606386372408</v>
      </c>
      <c r="AV64" s="166">
        <f t="shared" si="63"/>
        <v>226.8625870669639</v>
      </c>
      <c r="AW64" s="165"/>
      <c r="AX64" s="166">
        <f t="shared" si="64"/>
        <v>112.73432150536409</v>
      </c>
      <c r="AY64" s="166">
        <f t="shared" si="64"/>
        <v>131.84828185573497</v>
      </c>
      <c r="AZ64" s="166">
        <f t="shared" si="64"/>
        <v>173.0031356627903</v>
      </c>
      <c r="BA64" s="166">
        <f t="shared" si="64"/>
        <v>202.93168009516813</v>
      </c>
      <c r="BB64" s="166">
        <f t="shared" si="64"/>
        <v>221.04132666504691</v>
      </c>
      <c r="BC64" s="165"/>
      <c r="BD64" s="166">
        <f t="shared" si="65"/>
        <v>3.2072792814749906</v>
      </c>
      <c r="BE64" s="166">
        <f t="shared" si="65"/>
        <v>3.6680656866410524</v>
      </c>
      <c r="BF64" s="166">
        <f t="shared" si="65"/>
        <v>4.6490415352346357</v>
      </c>
      <c r="BG64" s="166">
        <f t="shared" si="65"/>
        <v>5.3843837685559581</v>
      </c>
      <c r="BH64" s="166">
        <f t="shared" si="65"/>
        <v>5.8212604019169705</v>
      </c>
    </row>
    <row r="65" spans="1:60">
      <c r="A65" s="73" t="str">
        <f t="shared" si="53"/>
        <v>60-64</v>
      </c>
      <c r="B65" s="166">
        <f t="shared" si="54"/>
        <v>35.823218463615042</v>
      </c>
      <c r="C65" s="166">
        <f t="shared" si="54"/>
        <v>44.494263253571226</v>
      </c>
      <c r="D65" s="166">
        <f t="shared" si="54"/>
        <v>41.613632960941956</v>
      </c>
      <c r="E65" s="166">
        <f t="shared" si="54"/>
        <v>40.934965671055551</v>
      </c>
      <c r="F65" s="166">
        <f t="shared" si="54"/>
        <v>35.667541570413341</v>
      </c>
      <c r="G65" s="165"/>
      <c r="H65" s="166">
        <f t="shared" si="55"/>
        <v>16.931856207862616</v>
      </c>
      <c r="I65" s="166">
        <f t="shared" si="55"/>
        <v>21.062717164219428</v>
      </c>
      <c r="J65" s="166">
        <f t="shared" si="55"/>
        <v>19.717624343517112</v>
      </c>
      <c r="K65" s="166">
        <f t="shared" si="55"/>
        <v>19.381394399502241</v>
      </c>
      <c r="L65" s="166">
        <f t="shared" si="55"/>
        <v>16.879614538550584</v>
      </c>
      <c r="M65" s="165"/>
      <c r="N65" s="166">
        <f t="shared" si="56"/>
        <v>18.891362255752426</v>
      </c>
      <c r="O65" s="166">
        <f t="shared" si="56"/>
        <v>23.431546089351805</v>
      </c>
      <c r="P65" s="166">
        <f t="shared" si="56"/>
        <v>21.89600861742484</v>
      </c>
      <c r="Q65" s="166">
        <f t="shared" si="56"/>
        <v>21.553571271553317</v>
      </c>
      <c r="R65" s="166">
        <f t="shared" si="56"/>
        <v>18.787927031862754</v>
      </c>
      <c r="S65" s="165"/>
      <c r="T65" s="166">
        <f t="shared" si="57"/>
        <v>0</v>
      </c>
      <c r="U65" s="166">
        <f t="shared" si="57"/>
        <v>0</v>
      </c>
      <c r="V65" s="166">
        <f t="shared" si="57"/>
        <v>0</v>
      </c>
      <c r="W65" s="166">
        <f t="shared" si="57"/>
        <v>0</v>
      </c>
      <c r="X65" s="166">
        <f t="shared" si="57"/>
        <v>0</v>
      </c>
      <c r="Y65" s="73" t="str">
        <f t="shared" si="58"/>
        <v>60-64</v>
      </c>
      <c r="Z65" s="166">
        <f t="shared" si="59"/>
        <v>31.343339667083313</v>
      </c>
      <c r="AA65" s="166">
        <f t="shared" si="59"/>
        <v>37.400907742954743</v>
      </c>
      <c r="AB65" s="166">
        <f t="shared" si="59"/>
        <v>50.777770478130293</v>
      </c>
      <c r="AC65" s="166">
        <f t="shared" si="59"/>
        <v>66.266094080470012</v>
      </c>
      <c r="AD65" s="166">
        <f t="shared" si="59"/>
        <v>80.260766484007178</v>
      </c>
      <c r="AE65" s="165"/>
      <c r="AF65" s="166">
        <f t="shared" si="60"/>
        <v>29.203027553951088</v>
      </c>
      <c r="AG65" s="166">
        <f t="shared" si="60"/>
        <v>34.871395449563813</v>
      </c>
      <c r="AH65" s="166">
        <f t="shared" si="60"/>
        <v>47.209555911882788</v>
      </c>
      <c r="AI65" s="166">
        <f t="shared" si="60"/>
        <v>61.600974211672487</v>
      </c>
      <c r="AJ65" s="166">
        <f t="shared" si="60"/>
        <v>74.607227360463867</v>
      </c>
      <c r="AK65" s="165"/>
      <c r="AL65" s="166">
        <f t="shared" si="61"/>
        <v>2.1403121131322234</v>
      </c>
      <c r="AM65" s="166">
        <f t="shared" si="61"/>
        <v>2.5295122933909324</v>
      </c>
      <c r="AN65" s="166">
        <f t="shared" si="61"/>
        <v>3.5682145662475118</v>
      </c>
      <c r="AO65" s="166">
        <f t="shared" si="61"/>
        <v>4.6651198687975111</v>
      </c>
      <c r="AP65" s="166">
        <f t="shared" si="61"/>
        <v>5.6535391235433075</v>
      </c>
      <c r="AQ65" s="73" t="str">
        <f t="shared" si="62"/>
        <v>60-64</v>
      </c>
      <c r="AR65" s="166">
        <f t="shared" si="63"/>
        <v>38.517441869301649</v>
      </c>
      <c r="AS65" s="166">
        <f t="shared" si="63"/>
        <v>53.191829003474027</v>
      </c>
      <c r="AT65" s="166">
        <f t="shared" si="63"/>
        <v>71.393596560927747</v>
      </c>
      <c r="AU65" s="166">
        <f t="shared" si="63"/>
        <v>92.303940248474447</v>
      </c>
      <c r="AV65" s="166">
        <f t="shared" si="63"/>
        <v>113.97169194557949</v>
      </c>
      <c r="AW65" s="165"/>
      <c r="AX65" s="166">
        <f t="shared" si="64"/>
        <v>35.940957081944205</v>
      </c>
      <c r="AY65" s="166">
        <f t="shared" si="64"/>
        <v>49.626732053099445</v>
      </c>
      <c r="AZ65" s="166">
        <f t="shared" si="64"/>
        <v>66.596362264723197</v>
      </c>
      <c r="BA65" s="166">
        <f t="shared" si="64"/>
        <v>86.098448390329622</v>
      </c>
      <c r="BB65" s="166">
        <f t="shared" si="64"/>
        <v>106.3052407990122</v>
      </c>
      <c r="BC65" s="165"/>
      <c r="BD65" s="166">
        <f t="shared" si="65"/>
        <v>2.5764847873574377</v>
      </c>
      <c r="BE65" s="166">
        <f t="shared" si="65"/>
        <v>3.5650969503745911</v>
      </c>
      <c r="BF65" s="166">
        <f t="shared" si="65"/>
        <v>4.7972342962045555</v>
      </c>
      <c r="BG65" s="166">
        <f t="shared" si="65"/>
        <v>6.2054918581448213</v>
      </c>
      <c r="BH65" s="166">
        <f t="shared" si="65"/>
        <v>7.6664511465673009</v>
      </c>
    </row>
    <row r="66" spans="1:60">
      <c r="A66" s="73" t="str">
        <f t="shared" si="53"/>
        <v>65+</v>
      </c>
      <c r="B66" s="166">
        <f t="shared" si="54"/>
        <v>11.948741166199174</v>
      </c>
      <c r="C66" s="166">
        <f t="shared" si="54"/>
        <v>16.460486596644937</v>
      </c>
      <c r="D66" s="166">
        <f t="shared" si="54"/>
        <v>15.029015503825972</v>
      </c>
      <c r="E66" s="166">
        <f t="shared" si="54"/>
        <v>11.903183363129848</v>
      </c>
      <c r="F66" s="166">
        <f t="shared" si="54"/>
        <v>9.8474191476518342</v>
      </c>
      <c r="G66" s="165"/>
      <c r="H66" s="166">
        <f t="shared" si="55"/>
        <v>6.3754329809595625</v>
      </c>
      <c r="I66" s="166">
        <f t="shared" si="55"/>
        <v>8.5871560944185141</v>
      </c>
      <c r="J66" s="166">
        <f t="shared" si="55"/>
        <v>7.8803923797716067</v>
      </c>
      <c r="K66" s="166">
        <f t="shared" si="55"/>
        <v>6.2399183159193861</v>
      </c>
      <c r="L66" s="166">
        <f t="shared" si="55"/>
        <v>5.2069403181851044</v>
      </c>
      <c r="M66" s="165"/>
      <c r="N66" s="166">
        <f t="shared" si="56"/>
        <v>5.5733081852396102</v>
      </c>
      <c r="O66" s="166">
        <f t="shared" si="56"/>
        <v>7.8733305022264224</v>
      </c>
      <c r="P66" s="166">
        <f t="shared" si="56"/>
        <v>7.1486231240543656</v>
      </c>
      <c r="Q66" s="166">
        <f t="shared" si="56"/>
        <v>5.6632650472104613</v>
      </c>
      <c r="R66" s="166">
        <f t="shared" si="56"/>
        <v>4.6404788294667298</v>
      </c>
      <c r="S66" s="165"/>
      <c r="T66" s="166">
        <f t="shared" si="57"/>
        <v>0</v>
      </c>
      <c r="U66" s="166">
        <f t="shared" si="57"/>
        <v>0</v>
      </c>
      <c r="V66" s="166">
        <f t="shared" si="57"/>
        <v>0</v>
      </c>
      <c r="W66" s="166">
        <f t="shared" si="57"/>
        <v>0</v>
      </c>
      <c r="X66" s="166">
        <f t="shared" si="57"/>
        <v>0</v>
      </c>
      <c r="Y66" s="73" t="str">
        <f t="shared" si="58"/>
        <v>65+</v>
      </c>
      <c r="Z66" s="166">
        <f t="shared" si="59"/>
        <v>7.8240804156386137</v>
      </c>
      <c r="AA66" s="166">
        <f t="shared" si="59"/>
        <v>9.9119242988728669</v>
      </c>
      <c r="AB66" s="166">
        <f t="shared" si="59"/>
        <v>11.008756624618567</v>
      </c>
      <c r="AC66" s="166">
        <f t="shared" si="59"/>
        <v>12.01446121472337</v>
      </c>
      <c r="AD66" s="166">
        <f t="shared" si="59"/>
        <v>13.854293318978709</v>
      </c>
      <c r="AE66" s="165"/>
      <c r="AF66" s="166">
        <f t="shared" si="60"/>
        <v>6.9255035254653912</v>
      </c>
      <c r="AG66" s="166">
        <f t="shared" si="60"/>
        <v>8.7952137061175186</v>
      </c>
      <c r="AH66" s="166">
        <f t="shared" si="60"/>
        <v>9.7331452985061144</v>
      </c>
      <c r="AI66" s="166">
        <f t="shared" si="60"/>
        <v>10.624866696548906</v>
      </c>
      <c r="AJ66" s="166">
        <f t="shared" si="60"/>
        <v>12.275904221835862</v>
      </c>
      <c r="AK66" s="165"/>
      <c r="AL66" s="166">
        <f t="shared" si="61"/>
        <v>0.89857689017322329</v>
      </c>
      <c r="AM66" s="166">
        <f t="shared" si="61"/>
        <v>1.1167105927553487</v>
      </c>
      <c r="AN66" s="166">
        <f t="shared" si="61"/>
        <v>1.2756113261124509</v>
      </c>
      <c r="AO66" s="166">
        <f t="shared" si="61"/>
        <v>1.389594518174466</v>
      </c>
      <c r="AP66" s="166">
        <f t="shared" si="61"/>
        <v>1.5783890971428471</v>
      </c>
      <c r="AQ66" s="73" t="str">
        <f t="shared" si="62"/>
        <v>65+</v>
      </c>
      <c r="AR66" s="166">
        <f t="shared" si="63"/>
        <v>12.792178418162218</v>
      </c>
      <c r="AS66" s="166">
        <f t="shared" si="63"/>
        <v>12.19158910448219</v>
      </c>
      <c r="AT66" s="166">
        <f t="shared" si="63"/>
        <v>19.366227871555463</v>
      </c>
      <c r="AU66" s="166">
        <f t="shared" si="63"/>
        <v>23.78335542214678</v>
      </c>
      <c r="AV66" s="166">
        <f t="shared" si="63"/>
        <v>30.011287533369462</v>
      </c>
      <c r="AW66" s="165"/>
      <c r="AX66" s="166">
        <f t="shared" si="64"/>
        <v>12.010493229987055</v>
      </c>
      <c r="AY66" s="166">
        <f t="shared" si="64"/>
        <v>11.529560727743291</v>
      </c>
      <c r="AZ66" s="166">
        <f t="shared" si="64"/>
        <v>18.211272058470012</v>
      </c>
      <c r="BA66" s="166">
        <f t="shared" si="64"/>
        <v>22.381962071636803</v>
      </c>
      <c r="BB66" s="166">
        <f t="shared" si="64"/>
        <v>28.299382615392936</v>
      </c>
      <c r="BC66" s="165"/>
      <c r="BD66" s="166">
        <f t="shared" si="65"/>
        <v>0.78168518817516097</v>
      </c>
      <c r="BE66" s="166">
        <f t="shared" si="65"/>
        <v>0.66202837673890058</v>
      </c>
      <c r="BF66" s="166">
        <f t="shared" si="65"/>
        <v>1.1549558130854503</v>
      </c>
      <c r="BG66" s="166">
        <f t="shared" si="65"/>
        <v>1.4013933505099772</v>
      </c>
      <c r="BH66" s="166">
        <f t="shared" si="65"/>
        <v>1.7119049179765302</v>
      </c>
    </row>
    <row r="67" spans="1:60">
      <c r="B67" s="166"/>
      <c r="C67" s="166"/>
      <c r="D67" s="165"/>
      <c r="E67" s="165"/>
      <c r="F67" s="165"/>
      <c r="G67" s="165"/>
      <c r="H67" s="165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76"/>
      <c r="U67" s="76"/>
      <c r="V67" s="76"/>
      <c r="W67" s="76"/>
      <c r="X67" s="76"/>
      <c r="Z67" s="166"/>
      <c r="AA67" s="166"/>
      <c r="AB67" s="165"/>
      <c r="AC67" s="165"/>
      <c r="AD67" s="165"/>
      <c r="AE67" s="165"/>
      <c r="AF67" s="165"/>
      <c r="AG67" s="165"/>
      <c r="AH67" s="165"/>
      <c r="AI67" s="165"/>
      <c r="AJ67" s="165"/>
      <c r="AK67" s="165"/>
      <c r="AL67" s="165"/>
      <c r="AM67" s="165"/>
      <c r="AN67" s="165"/>
      <c r="AO67" s="165"/>
      <c r="AP67" s="165"/>
      <c r="AR67" s="166"/>
      <c r="AS67" s="166"/>
      <c r="AT67" s="165"/>
      <c r="AU67" s="165"/>
      <c r="AV67" s="165"/>
      <c r="AW67" s="165"/>
      <c r="AX67" s="165"/>
      <c r="AY67" s="165"/>
      <c r="AZ67" s="165"/>
      <c r="BA67" s="165"/>
      <c r="BB67" s="165"/>
      <c r="BC67" s="165"/>
      <c r="BD67" s="165"/>
      <c r="BE67" s="165"/>
      <c r="BF67" s="165"/>
      <c r="BG67" s="165"/>
      <c r="BH67" s="165"/>
    </row>
    <row r="68" spans="1:60">
      <c r="A68" s="96" t="str">
        <f>A20</f>
        <v>Males</v>
      </c>
      <c r="B68" s="76"/>
      <c r="C68" s="76"/>
      <c r="D68" s="76"/>
      <c r="E68" s="76"/>
      <c r="F68" s="166"/>
      <c r="G68" s="166"/>
      <c r="H68" s="166"/>
      <c r="I68" s="166"/>
      <c r="J68" s="166"/>
      <c r="K68" s="166"/>
      <c r="L68" s="166"/>
      <c r="M68" s="166"/>
      <c r="N68" s="166"/>
      <c r="O68" s="166"/>
      <c r="P68" s="166"/>
      <c r="Q68" s="166"/>
      <c r="R68" s="166"/>
      <c r="S68" s="166"/>
      <c r="T68" s="76"/>
      <c r="U68" s="76"/>
      <c r="V68" s="76"/>
      <c r="W68" s="76"/>
      <c r="X68" s="76"/>
      <c r="Y68" s="96" t="str">
        <f>Y20</f>
        <v>Males</v>
      </c>
      <c r="Z68" s="76"/>
      <c r="AA68" s="76"/>
      <c r="AB68" s="76"/>
      <c r="AC68" s="76"/>
      <c r="AD68" s="166"/>
      <c r="AE68" s="166"/>
      <c r="AF68" s="166"/>
      <c r="AG68" s="166"/>
      <c r="AH68" s="166"/>
      <c r="AI68" s="166"/>
      <c r="AJ68" s="166"/>
      <c r="AK68" s="166"/>
      <c r="AL68" s="166"/>
      <c r="AM68" s="166"/>
      <c r="AN68" s="166"/>
      <c r="AO68" s="166"/>
      <c r="AP68" s="166"/>
      <c r="AQ68" s="96" t="str">
        <f>AQ20</f>
        <v>Males</v>
      </c>
      <c r="AR68" s="76"/>
      <c r="AS68" s="76"/>
      <c r="AT68" s="76"/>
      <c r="AU68" s="76"/>
      <c r="AV68" s="166"/>
      <c r="AW68" s="166"/>
      <c r="AX68" s="166"/>
      <c r="AY68" s="166"/>
      <c r="AZ68" s="166"/>
      <c r="BA68" s="166"/>
      <c r="BB68" s="166"/>
      <c r="BC68" s="166"/>
      <c r="BD68" s="166"/>
      <c r="BE68" s="166"/>
      <c r="BF68" s="166"/>
      <c r="BG68" s="166"/>
      <c r="BH68" s="166"/>
    </row>
    <row r="69" spans="1:60">
      <c r="A69" s="73" t="str">
        <f>A21</f>
        <v>15+</v>
      </c>
      <c r="B69" s="166">
        <f>SUM(B70:B80)</f>
        <v>668.34829787442732</v>
      </c>
      <c r="C69" s="166">
        <f t="shared" ref="C69:F69" si="66">SUM(C70:C80)</f>
        <v>679.97434318708918</v>
      </c>
      <c r="D69" s="166">
        <f t="shared" si="66"/>
        <v>576.0987188576471</v>
      </c>
      <c r="E69" s="166">
        <f t="shared" si="66"/>
        <v>506.60924483387572</v>
      </c>
      <c r="F69" s="166">
        <f t="shared" si="66"/>
        <v>424.17079532170612</v>
      </c>
      <c r="G69" s="166"/>
      <c r="H69" s="166">
        <f>SUM(H70:H80)</f>
        <v>216.57689663424574</v>
      </c>
      <c r="I69" s="166">
        <f t="shared" ref="I69:L69" si="67">SUM(I70:I80)</f>
        <v>222.01749682244036</v>
      </c>
      <c r="J69" s="166">
        <f t="shared" si="67"/>
        <v>189.97263257060061</v>
      </c>
      <c r="K69" s="166">
        <f t="shared" si="67"/>
        <v>168.03119397716577</v>
      </c>
      <c r="L69" s="166">
        <f t="shared" si="67"/>
        <v>140.23377379308036</v>
      </c>
      <c r="M69" s="166"/>
      <c r="N69" s="166">
        <f>SUM(N70:N80)</f>
        <v>451.77140124018155</v>
      </c>
      <c r="O69" s="166">
        <f t="shared" ref="O69:R69" si="68">SUM(O70:O80)</f>
        <v>457.95684636464887</v>
      </c>
      <c r="P69" s="166">
        <f t="shared" si="68"/>
        <v>386.12608628704652</v>
      </c>
      <c r="Q69" s="166">
        <f t="shared" si="68"/>
        <v>338.57805085670992</v>
      </c>
      <c r="R69" s="166">
        <f t="shared" si="68"/>
        <v>283.93702152862579</v>
      </c>
      <c r="S69" s="166"/>
      <c r="T69" s="166">
        <f>SUM(T70:T80)</f>
        <v>0</v>
      </c>
      <c r="U69" s="166">
        <f t="shared" ref="U69:X69" si="69">SUM(U70:U80)</f>
        <v>0</v>
      </c>
      <c r="V69" s="166">
        <f t="shared" si="69"/>
        <v>0</v>
      </c>
      <c r="W69" s="166">
        <f t="shared" si="69"/>
        <v>0</v>
      </c>
      <c r="X69" s="166">
        <f t="shared" si="69"/>
        <v>0</v>
      </c>
      <c r="Y69" s="73" t="str">
        <f>Y21</f>
        <v>15+</v>
      </c>
      <c r="Z69" s="166">
        <f>SUM(Z70:Z80)</f>
        <v>1110.8221091376672</v>
      </c>
      <c r="AA69" s="166">
        <f t="shared" ref="AA69:AD69" si="70">SUM(AA70:AA80)</f>
        <v>1081.2462760791657</v>
      </c>
      <c r="AB69" s="166">
        <f t="shared" si="70"/>
        <v>1129.3696341240161</v>
      </c>
      <c r="AC69" s="166">
        <f t="shared" si="70"/>
        <v>1196.947412591609</v>
      </c>
      <c r="AD69" s="166">
        <f t="shared" si="70"/>
        <v>1263.8735341848089</v>
      </c>
      <c r="AE69" s="166"/>
      <c r="AF69" s="166">
        <f>SUM(AF70:AF80)</f>
        <v>1048.6925402059803</v>
      </c>
      <c r="AG69" s="166">
        <f t="shared" ref="AG69:AJ69" si="71">SUM(AG70:AG80)</f>
        <v>1020.9879008290815</v>
      </c>
      <c r="AH69" s="166">
        <f t="shared" si="71"/>
        <v>1066.4680897558023</v>
      </c>
      <c r="AI69" s="166">
        <f t="shared" si="71"/>
        <v>1130.4132844970143</v>
      </c>
      <c r="AJ69" s="166">
        <f t="shared" si="71"/>
        <v>1193.6123831216405</v>
      </c>
      <c r="AK69" s="166"/>
      <c r="AL69" s="166">
        <f>SUM(AL70:AL80)</f>
        <v>62.12956893168694</v>
      </c>
      <c r="AM69" s="166">
        <f t="shared" ref="AM69:AP69" si="72">SUM(AM70:AM80)</f>
        <v>60.258375250084285</v>
      </c>
      <c r="AN69" s="166">
        <f t="shared" si="72"/>
        <v>62.90154436821414</v>
      </c>
      <c r="AO69" s="166">
        <f t="shared" si="72"/>
        <v>66.534128094594536</v>
      </c>
      <c r="AP69" s="166">
        <f t="shared" si="72"/>
        <v>70.261151063168086</v>
      </c>
      <c r="AQ69" s="73" t="str">
        <f>AQ21</f>
        <v>15+</v>
      </c>
      <c r="AR69" s="166">
        <f>SUM(AR70:AR80)</f>
        <v>858.87759298790547</v>
      </c>
      <c r="AS69" s="166">
        <f t="shared" ref="AS69:AV69" si="73">SUM(AS70:AS80)</f>
        <v>924.03238073374484</v>
      </c>
      <c r="AT69" s="166">
        <f t="shared" si="73"/>
        <v>1006.6636470183364</v>
      </c>
      <c r="AU69" s="166">
        <f t="shared" si="73"/>
        <v>1087.2593425745151</v>
      </c>
      <c r="AV69" s="166">
        <f t="shared" si="73"/>
        <v>1172.5296704934854</v>
      </c>
      <c r="AW69" s="166"/>
      <c r="AX69" s="166">
        <f>SUM(AX70:AX80)</f>
        <v>837.25747303433036</v>
      </c>
      <c r="AY69" s="166">
        <f t="shared" ref="AY69:BB69" si="74">SUM(AY70:AY80)</f>
        <v>900.46119959493876</v>
      </c>
      <c r="AZ69" s="166">
        <f t="shared" si="74"/>
        <v>980.19920817165428</v>
      </c>
      <c r="BA69" s="166">
        <f t="shared" si="74"/>
        <v>1058.1193206787443</v>
      </c>
      <c r="BB69" s="166">
        <f t="shared" si="74"/>
        <v>1140.618907885826</v>
      </c>
      <c r="BC69" s="166"/>
      <c r="BD69" s="166">
        <f>SUM(BD70:BD80)</f>
        <v>21.620119953575205</v>
      </c>
      <c r="BE69" s="166">
        <f t="shared" ref="BE69:BH69" si="75">SUM(BE70:BE80)</f>
        <v>23.571181138806118</v>
      </c>
      <c r="BF69" s="166">
        <f t="shared" si="75"/>
        <v>26.464438846682153</v>
      </c>
      <c r="BG69" s="166">
        <f t="shared" si="75"/>
        <v>29.140021895771127</v>
      </c>
      <c r="BH69" s="166">
        <f t="shared" si="75"/>
        <v>31.910762607659223</v>
      </c>
    </row>
    <row r="70" spans="1:60">
      <c r="A70" s="73" t="str">
        <f t="shared" ref="A70:A80" si="76">A22</f>
        <v>15-19</v>
      </c>
      <c r="B70" s="166">
        <v>21.970306906103936</v>
      </c>
      <c r="C70" s="166">
        <v>20.026076119996116</v>
      </c>
      <c r="D70" s="166">
        <v>15.121179094017016</v>
      </c>
      <c r="E70" s="166">
        <v>17.089485140563891</v>
      </c>
      <c r="F70" s="165">
        <v>20.063648634933156</v>
      </c>
      <c r="G70" s="166"/>
      <c r="H70" s="166">
        <v>5.926181505924986</v>
      </c>
      <c r="I70" s="166">
        <v>5.4017609070647374</v>
      </c>
      <c r="J70" s="166">
        <v>4.0787280675207782</v>
      </c>
      <c r="K70" s="166">
        <v>4.6096697076419106</v>
      </c>
      <c r="L70" s="165">
        <v>5.4118921208641293</v>
      </c>
      <c r="M70" s="166"/>
      <c r="N70" s="166">
        <v>16.044125400178949</v>
      </c>
      <c r="O70" s="166">
        <v>14.624315212931378</v>
      </c>
      <c r="P70" s="166">
        <v>11.04245102649624</v>
      </c>
      <c r="Q70" s="166">
        <v>12.479815432921979</v>
      </c>
      <c r="R70" s="165">
        <v>14.651756514069028</v>
      </c>
      <c r="S70" s="166"/>
      <c r="T70" s="166">
        <v>0</v>
      </c>
      <c r="U70" s="166">
        <v>0</v>
      </c>
      <c r="V70" s="166">
        <v>0</v>
      </c>
      <c r="W70" s="166">
        <v>0</v>
      </c>
      <c r="X70" s="165">
        <v>0</v>
      </c>
      <c r="Y70" s="73" t="str">
        <f t="shared" ref="Y70:Y80" si="77">Y22</f>
        <v>15-19</v>
      </c>
      <c r="Z70" s="166">
        <v>17.840683082880268</v>
      </c>
      <c r="AA70" s="166">
        <v>14.680133047335039</v>
      </c>
      <c r="AB70" s="166">
        <v>13.72560965822832</v>
      </c>
      <c r="AC70" s="166">
        <v>15.436484788467865</v>
      </c>
      <c r="AD70" s="165">
        <v>18.541508530812692</v>
      </c>
      <c r="AE70" s="166"/>
      <c r="AF70" s="166">
        <v>16.8611671563519</v>
      </c>
      <c r="AG70" s="166">
        <v>13.874168165612016</v>
      </c>
      <c r="AH70" s="166">
        <v>12.972040867641711</v>
      </c>
      <c r="AI70" s="166">
        <v>14.588974970800006</v>
      </c>
      <c r="AJ70" s="165">
        <v>17.523528875034817</v>
      </c>
      <c r="AK70" s="166"/>
      <c r="AL70" s="166">
        <v>0.9795159265283645</v>
      </c>
      <c r="AM70" s="166">
        <v>0.80596488172302239</v>
      </c>
      <c r="AN70" s="166">
        <v>0.75356879058660964</v>
      </c>
      <c r="AO70" s="166">
        <v>0.84750981766786149</v>
      </c>
      <c r="AP70" s="165">
        <v>1.0179796557778724</v>
      </c>
      <c r="AQ70" s="73" t="str">
        <f t="shared" ref="AQ70:AQ80" si="78">AQ22</f>
        <v>15-19</v>
      </c>
      <c r="AR70" s="166">
        <v>0.10001001101580378</v>
      </c>
      <c r="AS70" s="166">
        <v>0.10679083266884004</v>
      </c>
      <c r="AT70" s="166">
        <v>1.2112477546660798E-3</v>
      </c>
      <c r="AU70" s="166">
        <v>6.0300709682370914E-3</v>
      </c>
      <c r="AV70" s="165">
        <v>1.0842834254153347E-2</v>
      </c>
      <c r="AW70" s="166"/>
      <c r="AX70" s="166">
        <v>6.6192985196819223E-2</v>
      </c>
      <c r="AY70" s="166">
        <v>7.0679138418197798E-2</v>
      </c>
      <c r="AZ70" s="166">
        <v>8.014133599071727E-4</v>
      </c>
      <c r="BA70" s="166">
        <v>3.9895924082780755E-3</v>
      </c>
      <c r="BB70" s="165">
        <v>7.1745268353603188E-3</v>
      </c>
      <c r="BC70" s="166"/>
      <c r="BD70" s="166">
        <v>3.3817025818984561E-2</v>
      </c>
      <c r="BE70" s="166">
        <v>3.6111694250642229E-2</v>
      </c>
      <c r="BF70" s="166">
        <v>4.0983439475890718E-4</v>
      </c>
      <c r="BG70" s="166">
        <v>2.0404785599590159E-3</v>
      </c>
      <c r="BH70" s="165">
        <v>3.6683074187930289E-3</v>
      </c>
    </row>
    <row r="71" spans="1:60">
      <c r="A71" s="73" t="str">
        <f t="shared" si="76"/>
        <v>20-24</v>
      </c>
      <c r="B71" s="166">
        <v>42.835372944962316</v>
      </c>
      <c r="C71" s="166">
        <v>48.066292311616593</v>
      </c>
      <c r="D71" s="166">
        <v>41.397068793006476</v>
      </c>
      <c r="E71" s="166">
        <v>35.270255608267561</v>
      </c>
      <c r="F71" s="165">
        <v>32.498817128536295</v>
      </c>
      <c r="G71" s="166"/>
      <c r="H71" s="166">
        <v>9.7684866793085128</v>
      </c>
      <c r="I71" s="166">
        <v>10.961327650529908</v>
      </c>
      <c r="J71" s="166">
        <v>9.4404947503411645</v>
      </c>
      <c r="K71" s="166">
        <v>8.0432844087857056</v>
      </c>
      <c r="L71" s="165">
        <v>7.4112487352797149</v>
      </c>
      <c r="M71" s="166"/>
      <c r="N71" s="166">
        <v>33.0668862656538</v>
      </c>
      <c r="O71" s="166">
        <v>37.104964661086683</v>
      </c>
      <c r="P71" s="166">
        <v>31.956574042665309</v>
      </c>
      <c r="Q71" s="166">
        <v>27.226971199481849</v>
      </c>
      <c r="R71" s="165">
        <v>25.087568393256582</v>
      </c>
      <c r="S71" s="166"/>
      <c r="T71" s="166">
        <v>0</v>
      </c>
      <c r="U71" s="166">
        <v>0</v>
      </c>
      <c r="V71" s="166">
        <v>0</v>
      </c>
      <c r="W71" s="166">
        <v>0</v>
      </c>
      <c r="X71" s="165">
        <v>0</v>
      </c>
      <c r="Y71" s="73" t="str">
        <f t="shared" si="77"/>
        <v>20-24</v>
      </c>
      <c r="Z71" s="166">
        <v>117.60066097337621</v>
      </c>
      <c r="AA71" s="166">
        <v>116.00972577437592</v>
      </c>
      <c r="AB71" s="166">
        <v>117.37387172072432</v>
      </c>
      <c r="AC71" s="166">
        <v>109.8328571099937</v>
      </c>
      <c r="AD71" s="165">
        <v>112.18324785696579</v>
      </c>
      <c r="AE71" s="166"/>
      <c r="AF71" s="166">
        <v>109.40519835653062</v>
      </c>
      <c r="AG71" s="166">
        <v>107.92518380300695</v>
      </c>
      <c r="AH71" s="166">
        <v>109.19423291573709</v>
      </c>
      <c r="AI71" s="166">
        <v>102.17877037651678</v>
      </c>
      <c r="AJ71" s="165">
        <v>104.36530258032673</v>
      </c>
      <c r="AK71" s="166"/>
      <c r="AL71" s="166">
        <v>8.1954626168455889</v>
      </c>
      <c r="AM71" s="166">
        <v>8.0845419713689743</v>
      </c>
      <c r="AN71" s="166">
        <v>8.1796388049872402</v>
      </c>
      <c r="AO71" s="166">
        <v>7.6540867334769196</v>
      </c>
      <c r="AP71" s="165">
        <v>7.8179452766390698</v>
      </c>
      <c r="AQ71" s="73" t="str">
        <f t="shared" si="78"/>
        <v>20-24</v>
      </c>
      <c r="AR71" s="166">
        <v>35.953966081661484</v>
      </c>
      <c r="AS71" s="166">
        <v>35.412981914007489</v>
      </c>
      <c r="AT71" s="166">
        <v>39.05605948626922</v>
      </c>
      <c r="AU71" s="166">
        <v>40.227887281738759</v>
      </c>
      <c r="AV71" s="165">
        <v>45.244935014497926</v>
      </c>
      <c r="AW71" s="166"/>
      <c r="AX71" s="166">
        <v>35.894388197223741</v>
      </c>
      <c r="AY71" s="166">
        <v>35.354282498596831</v>
      </c>
      <c r="AZ71" s="166">
        <v>38.991316542918099</v>
      </c>
      <c r="BA71" s="166">
        <v>40.161217830179162</v>
      </c>
      <c r="BB71" s="165">
        <v>45.169897221289091</v>
      </c>
      <c r="BC71" s="166"/>
      <c r="BD71" s="166">
        <v>5.9577884437741695E-2</v>
      </c>
      <c r="BE71" s="166">
        <v>5.8699415410650713E-2</v>
      </c>
      <c r="BF71" s="166">
        <v>6.4742943351118576E-2</v>
      </c>
      <c r="BG71" s="166">
        <v>6.6669451559595388E-2</v>
      </c>
      <c r="BH71" s="165">
        <v>7.5037793208839618E-2</v>
      </c>
    </row>
    <row r="72" spans="1:60">
      <c r="A72" s="73" t="str">
        <f t="shared" si="76"/>
        <v>25-29</v>
      </c>
      <c r="B72" s="166">
        <v>54.132987761997782</v>
      </c>
      <c r="C72" s="166">
        <v>59.30277365778997</v>
      </c>
      <c r="D72" s="166">
        <v>53.119400404129237</v>
      </c>
      <c r="E72" s="166">
        <v>53.434184420591016</v>
      </c>
      <c r="F72" s="165">
        <v>46.384829749714591</v>
      </c>
      <c r="G72" s="166"/>
      <c r="H72" s="166">
        <v>15.657402965414564</v>
      </c>
      <c r="I72" s="166">
        <v>17.15271266465906</v>
      </c>
      <c r="J72" s="166">
        <v>15.364227768456015</v>
      </c>
      <c r="K72" s="166">
        <v>15.455258797856304</v>
      </c>
      <c r="L72" s="165">
        <v>13.416311066916181</v>
      </c>
      <c r="M72" s="166"/>
      <c r="N72" s="166">
        <v>38.47558479658322</v>
      </c>
      <c r="O72" s="166">
        <v>42.150060993130907</v>
      </c>
      <c r="P72" s="166">
        <v>37.755172635673226</v>
      </c>
      <c r="Q72" s="166">
        <v>37.978925622734714</v>
      </c>
      <c r="R72" s="165">
        <v>32.968518682798404</v>
      </c>
      <c r="S72" s="166"/>
      <c r="T72" s="166">
        <v>0</v>
      </c>
      <c r="U72" s="166">
        <v>0</v>
      </c>
      <c r="V72" s="166">
        <v>0</v>
      </c>
      <c r="W72" s="166">
        <v>0</v>
      </c>
      <c r="X72" s="165">
        <v>0</v>
      </c>
      <c r="Y72" s="73" t="str">
        <f t="shared" si="77"/>
        <v>25-29</v>
      </c>
      <c r="Z72" s="166">
        <v>149.16941523155822</v>
      </c>
      <c r="AA72" s="166">
        <v>137.65111832560171</v>
      </c>
      <c r="AB72" s="166">
        <v>143.78119393240843</v>
      </c>
      <c r="AC72" s="166">
        <v>153.35525074005449</v>
      </c>
      <c r="AD72" s="165">
        <v>151.04532202229836</v>
      </c>
      <c r="AE72" s="166"/>
      <c r="AF72" s="166">
        <v>139.54207798178672</v>
      </c>
      <c r="AG72" s="166">
        <v>128.76718250907044</v>
      </c>
      <c r="AH72" s="166">
        <v>134.50166828917818</v>
      </c>
      <c r="AI72" s="166">
        <v>143.4577811169944</v>
      </c>
      <c r="AJ72" s="165">
        <v>141.29698663959073</v>
      </c>
      <c r="AK72" s="166"/>
      <c r="AL72" s="166">
        <v>9.6273372497715179</v>
      </c>
      <c r="AM72" s="166">
        <v>8.8839358165312774</v>
      </c>
      <c r="AN72" s="166">
        <v>9.2795256432302509</v>
      </c>
      <c r="AO72" s="166">
        <v>9.8974696230601076</v>
      </c>
      <c r="AP72" s="165">
        <v>9.7483353827076193</v>
      </c>
      <c r="AQ72" s="73" t="str">
        <f t="shared" si="78"/>
        <v>25-29</v>
      </c>
      <c r="AR72" s="166">
        <v>114.08059700644398</v>
      </c>
      <c r="AS72" s="166">
        <v>119.54710801660832</v>
      </c>
      <c r="AT72" s="166">
        <v>121.54440566346231</v>
      </c>
      <c r="AU72" s="166">
        <v>131.36556483935448</v>
      </c>
      <c r="AV72" s="165">
        <v>131.1628482279871</v>
      </c>
      <c r="AW72" s="166"/>
      <c r="AX72" s="166">
        <v>112.96810261144897</v>
      </c>
      <c r="AY72" s="166">
        <v>118.38128469844733</v>
      </c>
      <c r="AZ72" s="166">
        <v>120.35910614116368</v>
      </c>
      <c r="BA72" s="166">
        <v>130.08456385999412</v>
      </c>
      <c r="BB72" s="165">
        <v>129.88383705598</v>
      </c>
      <c r="BC72" s="166"/>
      <c r="BD72" s="166">
        <v>1.1124943949950061</v>
      </c>
      <c r="BE72" s="166">
        <v>1.1658233181609874</v>
      </c>
      <c r="BF72" s="166">
        <v>1.1852995222986344</v>
      </c>
      <c r="BG72" s="166">
        <v>1.2810009793603585</v>
      </c>
      <c r="BH72" s="165">
        <v>1.2790111720071109</v>
      </c>
    </row>
    <row r="73" spans="1:60">
      <c r="A73" s="73" t="str">
        <f t="shared" si="76"/>
        <v>30-34</v>
      </c>
      <c r="B73" s="166">
        <v>59.746194470013975</v>
      </c>
      <c r="C73" s="166">
        <v>55.826048413105191</v>
      </c>
      <c r="D73" s="166">
        <v>52.687517039427384</v>
      </c>
      <c r="E73" s="166">
        <v>49.043992638223799</v>
      </c>
      <c r="F73" s="165">
        <v>42.215560181056873</v>
      </c>
      <c r="G73" s="166"/>
      <c r="H73" s="166">
        <v>19.460449413601172</v>
      </c>
      <c r="I73" s="166">
        <v>18.183578385321248</v>
      </c>
      <c r="J73" s="166">
        <v>17.161250414897957</v>
      </c>
      <c r="K73" s="166">
        <v>15.974514770585094</v>
      </c>
      <c r="L73" s="165">
        <v>13.750439228926275</v>
      </c>
      <c r="M73" s="166"/>
      <c r="N73" s="166">
        <v>40.285745056412807</v>
      </c>
      <c r="O73" s="166">
        <v>37.642470027783951</v>
      </c>
      <c r="P73" s="166">
        <v>35.526266624529427</v>
      </c>
      <c r="Q73" s="166">
        <v>33.069477867638696</v>
      </c>
      <c r="R73" s="165">
        <v>28.465120952130594</v>
      </c>
      <c r="S73" s="166"/>
      <c r="T73" s="166">
        <v>0</v>
      </c>
      <c r="U73" s="166">
        <v>0</v>
      </c>
      <c r="V73" s="166">
        <v>0</v>
      </c>
      <c r="W73" s="166">
        <v>0</v>
      </c>
      <c r="X73" s="165">
        <v>0</v>
      </c>
      <c r="Y73" s="73" t="str">
        <f t="shared" si="77"/>
        <v>30-34</v>
      </c>
      <c r="Z73" s="166">
        <v>143.97550755975615</v>
      </c>
      <c r="AA73" s="166">
        <v>143.04692062923695</v>
      </c>
      <c r="AB73" s="166">
        <v>150.54112992034914</v>
      </c>
      <c r="AC73" s="166">
        <v>160.10889854017847</v>
      </c>
      <c r="AD73" s="165">
        <v>177.21576862141688</v>
      </c>
      <c r="AE73" s="166"/>
      <c r="AF73" s="166">
        <v>134.51151244341474</v>
      </c>
      <c r="AG73" s="166">
        <v>133.6439199496856</v>
      </c>
      <c r="AH73" s="166">
        <v>140.64555798795368</v>
      </c>
      <c r="AI73" s="166">
        <v>149.58441151968711</v>
      </c>
      <c r="AJ73" s="165">
        <v>165.5667550636862</v>
      </c>
      <c r="AK73" s="166"/>
      <c r="AL73" s="166">
        <v>9.4639951163413958</v>
      </c>
      <c r="AM73" s="166">
        <v>9.4030006795513597</v>
      </c>
      <c r="AN73" s="166">
        <v>9.8955719323954607</v>
      </c>
      <c r="AO73" s="166">
        <v>10.524487020491364</v>
      </c>
      <c r="AP73" s="165">
        <v>11.649013557730687</v>
      </c>
      <c r="AQ73" s="73" t="str">
        <f t="shared" si="78"/>
        <v>30-34</v>
      </c>
      <c r="AR73" s="166">
        <v>126.29229797022987</v>
      </c>
      <c r="AS73" s="166">
        <v>134.62703095765789</v>
      </c>
      <c r="AT73" s="166">
        <v>139.10335304022348</v>
      </c>
      <c r="AU73" s="166">
        <v>148.01810882159774</v>
      </c>
      <c r="AV73" s="165">
        <v>167.58267119752625</v>
      </c>
      <c r="AW73" s="166"/>
      <c r="AX73" s="166">
        <v>122.95073277336256</v>
      </c>
      <c r="AY73" s="166">
        <v>131.06497700319039</v>
      </c>
      <c r="AZ73" s="166">
        <v>135.42281890028266</v>
      </c>
      <c r="BA73" s="166">
        <v>144.10171770063747</v>
      </c>
      <c r="BB73" s="165">
        <v>163.14861509949301</v>
      </c>
      <c r="BC73" s="166"/>
      <c r="BD73" s="166">
        <v>3.3415651968673079</v>
      </c>
      <c r="BE73" s="166">
        <v>3.5620539544675016</v>
      </c>
      <c r="BF73" s="166">
        <v>3.6805341399408</v>
      </c>
      <c r="BG73" s="166">
        <v>3.9163911209602649</v>
      </c>
      <c r="BH73" s="165">
        <v>4.434056098033226</v>
      </c>
    </row>
    <row r="74" spans="1:60">
      <c r="A74" s="73" t="str">
        <f t="shared" si="76"/>
        <v>35-39</v>
      </c>
      <c r="B74" s="166">
        <v>72.389274390689224</v>
      </c>
      <c r="C74" s="166">
        <v>71.644104598988108</v>
      </c>
      <c r="D74" s="166">
        <v>56.546565915153813</v>
      </c>
      <c r="E74" s="166">
        <v>46.727112769454443</v>
      </c>
      <c r="F74" s="165">
        <v>36.765389039064232</v>
      </c>
      <c r="G74" s="166"/>
      <c r="H74" s="166">
        <v>22.092351099930109</v>
      </c>
      <c r="I74" s="166">
        <v>21.864916566985048</v>
      </c>
      <c r="J74" s="166">
        <v>17.257326348768249</v>
      </c>
      <c r="K74" s="166">
        <v>14.26057413503738</v>
      </c>
      <c r="L74" s="165">
        <v>11.220343143702051</v>
      </c>
      <c r="M74" s="166"/>
      <c r="N74" s="166">
        <v>50.296923290759125</v>
      </c>
      <c r="O74" s="166">
        <v>49.779188032003056</v>
      </c>
      <c r="P74" s="166">
        <v>39.289239566385561</v>
      </c>
      <c r="Q74" s="166">
        <v>32.466538634417063</v>
      </c>
      <c r="R74" s="165">
        <v>25.545045895362183</v>
      </c>
      <c r="S74" s="166"/>
      <c r="T74" s="166">
        <v>0</v>
      </c>
      <c r="U74" s="166">
        <v>0</v>
      </c>
      <c r="V74" s="166">
        <v>0</v>
      </c>
      <c r="W74" s="166">
        <v>0</v>
      </c>
      <c r="X74" s="165">
        <v>0</v>
      </c>
      <c r="Y74" s="73" t="str">
        <f t="shared" si="77"/>
        <v>35-39</v>
      </c>
      <c r="Z74" s="166">
        <v>168.36341500024318</v>
      </c>
      <c r="AA74" s="166">
        <v>149.22804572146893</v>
      </c>
      <c r="AB74" s="166">
        <v>145.3653492467291</v>
      </c>
      <c r="AC74" s="166">
        <v>157.84177384899948</v>
      </c>
      <c r="AD74" s="165">
        <v>170.08164787734725</v>
      </c>
      <c r="AE74" s="166"/>
      <c r="AF74" s="166">
        <v>158.73056855159768</v>
      </c>
      <c r="AG74" s="166">
        <v>140.68998106739087</v>
      </c>
      <c r="AH74" s="166">
        <v>137.0482794654304</v>
      </c>
      <c r="AI74" s="166">
        <v>148.81088905475639</v>
      </c>
      <c r="AJ74" s="165">
        <v>160.35047022072709</v>
      </c>
      <c r="AK74" s="166"/>
      <c r="AL74" s="166">
        <v>9.632846448645493</v>
      </c>
      <c r="AM74" s="166">
        <v>8.53806465407804</v>
      </c>
      <c r="AN74" s="166">
        <v>8.3170697812987289</v>
      </c>
      <c r="AO74" s="166">
        <v>9.0308847942430752</v>
      </c>
      <c r="AP74" s="165">
        <v>9.7311776566201527</v>
      </c>
      <c r="AQ74" s="73" t="str">
        <f t="shared" si="78"/>
        <v>35-39</v>
      </c>
      <c r="AR74" s="166">
        <v>130.00931060906763</v>
      </c>
      <c r="AS74" s="166">
        <v>141.63984967954292</v>
      </c>
      <c r="AT74" s="166">
        <v>140.96708483811705</v>
      </c>
      <c r="AU74" s="166">
        <v>156.05411338154607</v>
      </c>
      <c r="AV74" s="165">
        <v>171.1889630835885</v>
      </c>
      <c r="AW74" s="166"/>
      <c r="AX74" s="166">
        <v>126.80367098267918</v>
      </c>
      <c r="AY74" s="166">
        <v>138.14739398786907</v>
      </c>
      <c r="AZ74" s="166">
        <v>137.49128574990962</v>
      </c>
      <c r="BA74" s="166">
        <v>152.20632202622306</v>
      </c>
      <c r="BB74" s="165">
        <v>166.96792004521947</v>
      </c>
      <c r="BC74" s="166"/>
      <c r="BD74" s="166">
        <v>3.2056396263884279</v>
      </c>
      <c r="BE74" s="166">
        <v>3.4924556916738441</v>
      </c>
      <c r="BF74" s="166">
        <v>3.4757990882074257</v>
      </c>
      <c r="BG74" s="166">
        <v>3.8477913553230336</v>
      </c>
      <c r="BH74" s="165">
        <v>4.2210430383690394</v>
      </c>
    </row>
    <row r="75" spans="1:60">
      <c r="A75" s="73" t="str">
        <f t="shared" si="76"/>
        <v>40-44</v>
      </c>
      <c r="B75" s="166">
        <v>93.704921018490225</v>
      </c>
      <c r="C75" s="166">
        <v>86.025081460274208</v>
      </c>
      <c r="D75" s="166">
        <v>64.749495706932109</v>
      </c>
      <c r="E75" s="166">
        <v>46.877352399091471</v>
      </c>
      <c r="F75" s="165">
        <v>36.022235674570041</v>
      </c>
      <c r="G75" s="166"/>
      <c r="H75" s="166">
        <v>28.726825295106707</v>
      </c>
      <c r="I75" s="166">
        <v>26.372500122799597</v>
      </c>
      <c r="J75" s="166">
        <v>19.850090685545279</v>
      </c>
      <c r="K75" s="166">
        <v>14.37105615293013</v>
      </c>
      <c r="L75" s="165">
        <v>11.043233820019529</v>
      </c>
      <c r="M75" s="166"/>
      <c r="N75" s="166">
        <v>64.978095723383518</v>
      </c>
      <c r="O75" s="166">
        <v>59.652581337474615</v>
      </c>
      <c r="P75" s="166">
        <v>44.899405021386841</v>
      </c>
      <c r="Q75" s="166">
        <v>32.506296246161341</v>
      </c>
      <c r="R75" s="165">
        <v>24.979001854550507</v>
      </c>
      <c r="S75" s="166"/>
      <c r="T75" s="166">
        <v>0</v>
      </c>
      <c r="U75" s="166">
        <v>0</v>
      </c>
      <c r="V75" s="166">
        <v>0</v>
      </c>
      <c r="W75" s="166">
        <v>0</v>
      </c>
      <c r="X75" s="165">
        <v>0</v>
      </c>
      <c r="Y75" s="73" t="str">
        <f t="shared" si="77"/>
        <v>40-44</v>
      </c>
      <c r="Z75" s="166">
        <v>164.09838718909504</v>
      </c>
      <c r="AA75" s="166">
        <v>154.9023270474899</v>
      </c>
      <c r="AB75" s="166">
        <v>149.73668224901951</v>
      </c>
      <c r="AC75" s="166">
        <v>152.17875641282711</v>
      </c>
      <c r="AD75" s="165">
        <v>165.42214209784782</v>
      </c>
      <c r="AE75" s="166"/>
      <c r="AF75" s="166">
        <v>156.03959735584664</v>
      </c>
      <c r="AG75" s="166">
        <v>147.29512638226808</v>
      </c>
      <c r="AH75" s="166">
        <v>142.38323098553826</v>
      </c>
      <c r="AI75" s="166">
        <v>144.70535111932526</v>
      </c>
      <c r="AJ75" s="165">
        <v>157.29833296840684</v>
      </c>
      <c r="AK75" s="166"/>
      <c r="AL75" s="166">
        <v>8.0587898332483814</v>
      </c>
      <c r="AM75" s="166">
        <v>7.6072006652217956</v>
      </c>
      <c r="AN75" s="166">
        <v>7.3534512634812508</v>
      </c>
      <c r="AO75" s="166">
        <v>7.4734052935018527</v>
      </c>
      <c r="AP75" s="165">
        <v>8.1238091294409802</v>
      </c>
      <c r="AQ75" s="73" t="str">
        <f t="shared" si="78"/>
        <v>40-44</v>
      </c>
      <c r="AR75" s="166">
        <v>126.01269179241478</v>
      </c>
      <c r="AS75" s="166">
        <v>132.67959149223591</v>
      </c>
      <c r="AT75" s="166">
        <v>143.37582204404833</v>
      </c>
      <c r="AU75" s="166">
        <v>148.33089118808141</v>
      </c>
      <c r="AV75" s="165">
        <v>163.98362222758209</v>
      </c>
      <c r="AW75" s="166"/>
      <c r="AX75" s="166">
        <v>123.30009020573293</v>
      </c>
      <c r="AY75" s="166">
        <v>129.8235193902282</v>
      </c>
      <c r="AZ75" s="166">
        <v>140.28954114726304</v>
      </c>
      <c r="BA75" s="166">
        <v>145.13792831010065</v>
      </c>
      <c r="BB75" s="165">
        <v>160.4537346018306</v>
      </c>
      <c r="BC75" s="166"/>
      <c r="BD75" s="166">
        <v>2.7126015866818696</v>
      </c>
      <c r="BE75" s="166">
        <v>2.85607210200773</v>
      </c>
      <c r="BF75" s="166">
        <v>3.0862808967852815</v>
      </c>
      <c r="BG75" s="166">
        <v>3.1929628779807668</v>
      </c>
      <c r="BH75" s="165">
        <v>3.5298876257514915</v>
      </c>
    </row>
    <row r="76" spans="1:60">
      <c r="A76" s="73" t="str">
        <f t="shared" si="76"/>
        <v>45-49</v>
      </c>
      <c r="B76" s="166">
        <v>115.30181592604359</v>
      </c>
      <c r="C76" s="166">
        <v>109.33182845391168</v>
      </c>
      <c r="D76" s="166">
        <v>79.086091683348073</v>
      </c>
      <c r="E76" s="166">
        <v>61.499061829076247</v>
      </c>
      <c r="F76" s="165">
        <v>46.838498328679577</v>
      </c>
      <c r="G76" s="166"/>
      <c r="H76" s="166">
        <v>35.170555457916208</v>
      </c>
      <c r="I76" s="166">
        <v>33.349530919839154</v>
      </c>
      <c r="J76" s="166">
        <v>24.123666078720824</v>
      </c>
      <c r="K76" s="166">
        <v>18.759060670682956</v>
      </c>
      <c r="L76" s="165">
        <v>14.287158175019892</v>
      </c>
      <c r="M76" s="166"/>
      <c r="N76" s="166">
        <v>80.131260468127394</v>
      </c>
      <c r="O76" s="166">
        <v>75.982297534072529</v>
      </c>
      <c r="P76" s="166">
        <v>54.962425604627256</v>
      </c>
      <c r="Q76" s="166">
        <v>42.740001158393298</v>
      </c>
      <c r="R76" s="165">
        <v>32.55134015365968</v>
      </c>
      <c r="S76" s="166"/>
      <c r="T76" s="166">
        <v>0</v>
      </c>
      <c r="U76" s="166">
        <v>0</v>
      </c>
      <c r="V76" s="166">
        <v>0</v>
      </c>
      <c r="W76" s="166">
        <v>0</v>
      </c>
      <c r="X76" s="165">
        <v>0</v>
      </c>
      <c r="Y76" s="73" t="str">
        <f t="shared" si="77"/>
        <v>45-49</v>
      </c>
      <c r="Z76" s="166">
        <v>139.47645471921948</v>
      </c>
      <c r="AA76" s="166">
        <v>142.31555594986082</v>
      </c>
      <c r="AB76" s="166">
        <v>150.05821621827403</v>
      </c>
      <c r="AC76" s="166">
        <v>153.64746661870106</v>
      </c>
      <c r="AD76" s="165">
        <v>155.27997647346041</v>
      </c>
      <c r="AE76" s="166"/>
      <c r="AF76" s="166">
        <v>133.76971424566429</v>
      </c>
      <c r="AG76" s="166">
        <v>136.49269012868396</v>
      </c>
      <c r="AH76" s="166">
        <v>143.91849594775999</v>
      </c>
      <c r="AI76" s="166">
        <v>147.36094259416896</v>
      </c>
      <c r="AJ76" s="165">
        <v>148.92665752037087</v>
      </c>
      <c r="AK76" s="166"/>
      <c r="AL76" s="166">
        <v>5.7067404735551852</v>
      </c>
      <c r="AM76" s="166">
        <v>5.8228658211768556</v>
      </c>
      <c r="AN76" s="166">
        <v>6.1397202705140401</v>
      </c>
      <c r="AO76" s="166">
        <v>6.2865240245320777</v>
      </c>
      <c r="AP76" s="165">
        <v>6.3533189530895484</v>
      </c>
      <c r="AQ76" s="73" t="str">
        <f t="shared" si="78"/>
        <v>45-49</v>
      </c>
      <c r="AR76" s="166">
        <v>120.1197293547369</v>
      </c>
      <c r="AS76" s="166">
        <v>129.44461559622746</v>
      </c>
      <c r="AT76" s="166">
        <v>136.0726920983779</v>
      </c>
      <c r="AU76" s="166">
        <v>140.49347155222273</v>
      </c>
      <c r="AV76" s="165">
        <v>143.29652519786003</v>
      </c>
      <c r="AW76" s="166"/>
      <c r="AX76" s="166">
        <v>117.05294273548799</v>
      </c>
      <c r="AY76" s="166">
        <v>126.13980543389869</v>
      </c>
      <c r="AZ76" s="166">
        <v>132.59867152271417</v>
      </c>
      <c r="BA76" s="166">
        <v>136.90652744386634</v>
      </c>
      <c r="BB76" s="165">
        <v>139.63803926200524</v>
      </c>
      <c r="BC76" s="166"/>
      <c r="BD76" s="166">
        <v>3.0667866192489188</v>
      </c>
      <c r="BE76" s="166">
        <v>3.3048101623287747</v>
      </c>
      <c r="BF76" s="166">
        <v>3.4740205756637477</v>
      </c>
      <c r="BG76" s="166">
        <v>3.5869441083564158</v>
      </c>
      <c r="BH76" s="165">
        <v>3.6584859358547694</v>
      </c>
    </row>
    <row r="77" spans="1:60">
      <c r="A77" s="73" t="str">
        <f t="shared" si="76"/>
        <v>50-54</v>
      </c>
      <c r="B77" s="166">
        <v>111.27520275605481</v>
      </c>
      <c r="C77" s="166">
        <v>116.43002391638842</v>
      </c>
      <c r="D77" s="166">
        <v>99.298446084176007</v>
      </c>
      <c r="E77" s="166">
        <v>84.486604991419114</v>
      </c>
      <c r="F77" s="165">
        <v>69.243878653988489</v>
      </c>
      <c r="G77" s="166"/>
      <c r="H77" s="166">
        <v>39.173130960659876</v>
      </c>
      <c r="I77" s="166">
        <v>40.987832117041947</v>
      </c>
      <c r="J77" s="166">
        <v>34.956838880438383</v>
      </c>
      <c r="K77" s="166">
        <v>29.742505447101941</v>
      </c>
      <c r="L77" s="165">
        <v>24.376494465649984</v>
      </c>
      <c r="M77" s="166"/>
      <c r="N77" s="166">
        <v>72.102071795394934</v>
      </c>
      <c r="O77" s="166">
        <v>75.442191799346489</v>
      </c>
      <c r="P77" s="166">
        <v>64.34160720373761</v>
      </c>
      <c r="Q77" s="166">
        <v>54.74409954431718</v>
      </c>
      <c r="R77" s="165">
        <v>44.867384188338512</v>
      </c>
      <c r="S77" s="166"/>
      <c r="T77" s="166">
        <v>0</v>
      </c>
      <c r="U77" s="166">
        <v>0</v>
      </c>
      <c r="V77" s="166">
        <v>0</v>
      </c>
      <c r="W77" s="166">
        <v>0</v>
      </c>
      <c r="X77" s="165">
        <v>0</v>
      </c>
      <c r="Y77" s="73" t="str">
        <f t="shared" si="77"/>
        <v>50-54</v>
      </c>
      <c r="Z77" s="166">
        <v>113.3960574955765</v>
      </c>
      <c r="AA77" s="166">
        <v>121.59249637417638</v>
      </c>
      <c r="AB77" s="166">
        <v>133.48105449911949</v>
      </c>
      <c r="AC77" s="166">
        <v>141.58741797337134</v>
      </c>
      <c r="AD77" s="165">
        <v>145.63112009368126</v>
      </c>
      <c r="AE77" s="166"/>
      <c r="AF77" s="166">
        <v>108.44421929852143</v>
      </c>
      <c r="AG77" s="166">
        <v>116.28270261170104</v>
      </c>
      <c r="AH77" s="166">
        <v>127.65209448250005</v>
      </c>
      <c r="AI77" s="166">
        <v>135.40448983032255</v>
      </c>
      <c r="AJ77" s="165">
        <v>139.27159339268175</v>
      </c>
      <c r="AK77" s="166"/>
      <c r="AL77" s="166">
        <v>4.9518381970550793</v>
      </c>
      <c r="AM77" s="166">
        <v>5.3097937624753415</v>
      </c>
      <c r="AN77" s="166">
        <v>5.828960016619444</v>
      </c>
      <c r="AO77" s="166">
        <v>6.1829281430488319</v>
      </c>
      <c r="AP77" s="165">
        <v>6.3595267009995187</v>
      </c>
      <c r="AQ77" s="73" t="str">
        <f t="shared" si="78"/>
        <v>50-54</v>
      </c>
      <c r="AR77" s="166">
        <v>95.512739748368674</v>
      </c>
      <c r="AS77" s="166">
        <v>104.88647970943516</v>
      </c>
      <c r="AT77" s="166">
        <v>127.31949941670452</v>
      </c>
      <c r="AU77" s="166">
        <v>134.10597703520958</v>
      </c>
      <c r="AV77" s="165">
        <v>137.3260012523302</v>
      </c>
      <c r="AW77" s="166"/>
      <c r="AX77" s="166">
        <v>92.592908798161787</v>
      </c>
      <c r="AY77" s="166">
        <v>101.68009864647333</v>
      </c>
      <c r="AZ77" s="166">
        <v>123.42737975287275</v>
      </c>
      <c r="BA77" s="166">
        <v>130.00642315954263</v>
      </c>
      <c r="BB77" s="165">
        <v>133.12800670973192</v>
      </c>
      <c r="BC77" s="166"/>
      <c r="BD77" s="166">
        <v>2.9198309502068871</v>
      </c>
      <c r="BE77" s="166">
        <v>3.2063810629618299</v>
      </c>
      <c r="BF77" s="166">
        <v>3.892119663831775</v>
      </c>
      <c r="BG77" s="166">
        <v>4.0995538756669365</v>
      </c>
      <c r="BH77" s="165">
        <v>4.1979945425982796</v>
      </c>
    </row>
    <row r="78" spans="1:60">
      <c r="A78" s="73" t="str">
        <f t="shared" si="76"/>
        <v>55-59</v>
      </c>
      <c r="B78" s="166">
        <v>68.012091171952278</v>
      </c>
      <c r="C78" s="166">
        <v>76.192899119068656</v>
      </c>
      <c r="D78" s="166">
        <v>80.959107437946358</v>
      </c>
      <c r="E78" s="166">
        <v>80.741803905128123</v>
      </c>
      <c r="F78" s="165">
        <v>67.11887912992232</v>
      </c>
      <c r="G78" s="166"/>
      <c r="H78" s="166">
        <v>26.951872424022827</v>
      </c>
      <c r="I78" s="166">
        <v>30.193746005149503</v>
      </c>
      <c r="J78" s="166">
        <v>32.082502271621657</v>
      </c>
      <c r="K78" s="166">
        <v>31.996398811217055</v>
      </c>
      <c r="L78" s="165">
        <v>26.597935178999514</v>
      </c>
      <c r="M78" s="166"/>
      <c r="N78" s="166">
        <v>41.060218747929468</v>
      </c>
      <c r="O78" s="166">
        <v>45.999153113919157</v>
      </c>
      <c r="P78" s="166">
        <v>48.876605166324701</v>
      </c>
      <c r="Q78" s="166">
        <v>48.74540509391106</v>
      </c>
      <c r="R78" s="165">
        <v>40.520943950922806</v>
      </c>
      <c r="S78" s="166"/>
      <c r="T78" s="166">
        <v>0</v>
      </c>
      <c r="U78" s="166">
        <v>0</v>
      </c>
      <c r="V78" s="166">
        <v>0</v>
      </c>
      <c r="W78" s="166">
        <v>0</v>
      </c>
      <c r="X78" s="165">
        <v>0</v>
      </c>
      <c r="Y78" s="73" t="str">
        <f t="shared" si="77"/>
        <v>55-59</v>
      </c>
      <c r="Z78" s="166">
        <v>72.790478327088792</v>
      </c>
      <c r="AA78" s="166">
        <v>72.824377516205331</v>
      </c>
      <c r="AB78" s="166">
        <v>88.796407596616632</v>
      </c>
      <c r="AC78" s="166">
        <v>107.12135329397736</v>
      </c>
      <c r="AD78" s="165">
        <v>114.12115272286486</v>
      </c>
      <c r="AE78" s="166"/>
      <c r="AF78" s="166">
        <v>68.801294834834081</v>
      </c>
      <c r="AG78" s="166">
        <v>68.83331603311845</v>
      </c>
      <c r="AH78" s="166">
        <v>83.930009776338608</v>
      </c>
      <c r="AI78" s="166">
        <v>101.25067814642075</v>
      </c>
      <c r="AJ78" s="165">
        <v>107.86683113473264</v>
      </c>
      <c r="AK78" s="166"/>
      <c r="AL78" s="166">
        <v>3.9891834922546994</v>
      </c>
      <c r="AM78" s="166">
        <v>3.9910614830868849</v>
      </c>
      <c r="AN78" s="166">
        <v>4.8663978202780056</v>
      </c>
      <c r="AO78" s="166">
        <v>5.8706751475565877</v>
      </c>
      <c r="AP78" s="165">
        <v>6.2543215881322256</v>
      </c>
      <c r="AQ78" s="73" t="str">
        <f t="shared" si="78"/>
        <v>55-59</v>
      </c>
      <c r="AR78" s="166">
        <v>71.997430500958913</v>
      </c>
      <c r="AS78" s="166">
        <v>80.286723364726001</v>
      </c>
      <c r="AT78" s="166">
        <v>97.623484965437029</v>
      </c>
      <c r="AU78" s="166">
        <v>111.25484280089452</v>
      </c>
      <c r="AV78" s="165">
        <v>119.13196814721282</v>
      </c>
      <c r="AW78" s="166"/>
      <c r="AX78" s="166">
        <v>69.435486947844097</v>
      </c>
      <c r="AY78" s="166">
        <v>77.429759529039274</v>
      </c>
      <c r="AZ78" s="166">
        <v>94.149691730122299</v>
      </c>
      <c r="BA78" s="166">
        <v>107.29594200979159</v>
      </c>
      <c r="BB78" s="165">
        <v>114.89276509261856</v>
      </c>
      <c r="BC78" s="166"/>
      <c r="BD78" s="166">
        <v>2.5619435531148169</v>
      </c>
      <c r="BE78" s="166">
        <v>2.8569638356867268</v>
      </c>
      <c r="BF78" s="166">
        <v>3.4737932353147438</v>
      </c>
      <c r="BG78" s="166">
        <v>3.9589007911029319</v>
      </c>
      <c r="BH78" s="165">
        <v>4.2392030545942614</v>
      </c>
    </row>
    <row r="79" spans="1:60">
      <c r="A79" s="73" t="str">
        <f t="shared" si="76"/>
        <v>60-64</v>
      </c>
      <c r="B79" s="166">
        <v>22.058986538549966</v>
      </c>
      <c r="C79" s="166">
        <v>25.725899636040516</v>
      </c>
      <c r="D79" s="166">
        <v>23.105090180247199</v>
      </c>
      <c r="E79" s="166">
        <v>23.482130526076944</v>
      </c>
      <c r="F79" s="165">
        <v>20.863456754363423</v>
      </c>
      <c r="G79" s="166"/>
      <c r="H79" s="166">
        <v>10.261625462059436</v>
      </c>
      <c r="I79" s="166">
        <v>11.967431555445883</v>
      </c>
      <c r="J79" s="166">
        <v>10.748274288790256</v>
      </c>
      <c r="K79" s="166">
        <v>10.923637169620605</v>
      </c>
      <c r="L79" s="165">
        <v>9.7054628731438477</v>
      </c>
      <c r="M79" s="166"/>
      <c r="N79" s="166">
        <v>11.797361076490528</v>
      </c>
      <c r="O79" s="166">
        <v>13.758468080594636</v>
      </c>
      <c r="P79" s="166">
        <v>12.356815891456941</v>
      </c>
      <c r="Q79" s="166">
        <v>12.558493356456339</v>
      </c>
      <c r="R79" s="165">
        <v>11.157993881219575</v>
      </c>
      <c r="S79" s="166"/>
      <c r="T79" s="166">
        <v>0</v>
      </c>
      <c r="U79" s="166">
        <v>0</v>
      </c>
      <c r="V79" s="166">
        <v>0</v>
      </c>
      <c r="W79" s="166">
        <v>0</v>
      </c>
      <c r="X79" s="165">
        <v>0</v>
      </c>
      <c r="Y79" s="73" t="str">
        <f t="shared" si="77"/>
        <v>60-64</v>
      </c>
      <c r="Z79" s="166">
        <v>19.033134372987352</v>
      </c>
      <c r="AA79" s="166">
        <v>23.139563185511207</v>
      </c>
      <c r="AB79" s="166">
        <v>29.062611970564706</v>
      </c>
      <c r="AC79" s="166">
        <v>37.775985439184019</v>
      </c>
      <c r="AD79" s="165">
        <v>45.699503561805081</v>
      </c>
      <c r="AE79" s="166"/>
      <c r="AF79" s="166">
        <v>18.159098770843201</v>
      </c>
      <c r="AG79" s="166">
        <v>22.076986233291766</v>
      </c>
      <c r="AH79" s="166">
        <v>27.728037414140051</v>
      </c>
      <c r="AI79" s="166">
        <v>36.041367319946715</v>
      </c>
      <c r="AJ79" s="165">
        <v>43.600996459396789</v>
      </c>
      <c r="AK79" s="166"/>
      <c r="AL79" s="166">
        <v>0.87403560214415288</v>
      </c>
      <c r="AM79" s="166">
        <v>1.0625769522194444</v>
      </c>
      <c r="AN79" s="166">
        <v>1.3345745564246547</v>
      </c>
      <c r="AO79" s="166">
        <v>1.7346181192372983</v>
      </c>
      <c r="AP79" s="165">
        <v>2.0985071024082935</v>
      </c>
      <c r="AQ79" s="73" t="str">
        <f t="shared" si="78"/>
        <v>60-64</v>
      </c>
      <c r="AR79" s="166">
        <v>28.502879088462684</v>
      </c>
      <c r="AS79" s="166">
        <v>37.330537178448267</v>
      </c>
      <c r="AT79" s="166">
        <v>46.611297849188091</v>
      </c>
      <c r="AU79" s="166">
        <v>59.348884034739037</v>
      </c>
      <c r="AV79" s="165">
        <v>72.006039683831503</v>
      </c>
      <c r="AW79" s="166"/>
      <c r="AX79" s="166">
        <v>26.621847428232694</v>
      </c>
      <c r="AY79" s="166">
        <v>34.866929781336395</v>
      </c>
      <c r="AZ79" s="166">
        <v>43.535121181596431</v>
      </c>
      <c r="BA79" s="166">
        <v>55.432075117845166</v>
      </c>
      <c r="BB79" s="165">
        <v>67.253939495670267</v>
      </c>
      <c r="BC79" s="166"/>
      <c r="BD79" s="166">
        <v>1.881031660229987</v>
      </c>
      <c r="BE79" s="166">
        <v>2.463607397111879</v>
      </c>
      <c r="BF79" s="166">
        <v>3.0761766675916631</v>
      </c>
      <c r="BG79" s="166">
        <v>3.9168089168938671</v>
      </c>
      <c r="BH79" s="165">
        <v>4.7521001881612417</v>
      </c>
    </row>
    <row r="80" spans="1:60">
      <c r="A80" s="73" t="str">
        <f t="shared" si="76"/>
        <v>65+</v>
      </c>
      <c r="B80" s="166">
        <v>6.9211439895691509</v>
      </c>
      <c r="C80" s="166">
        <v>11.403315499909841</v>
      </c>
      <c r="D80" s="166">
        <v>10.028756519263442</v>
      </c>
      <c r="E80" s="166">
        <v>7.9572606059831097</v>
      </c>
      <c r="F80" s="165">
        <v>6.1556020468771537</v>
      </c>
      <c r="G80" s="166"/>
      <c r="H80" s="166">
        <v>3.3880153703013169</v>
      </c>
      <c r="I80" s="166">
        <v>5.5821599276043257</v>
      </c>
      <c r="J80" s="166">
        <v>4.9092330155000692</v>
      </c>
      <c r="K80" s="166">
        <v>3.8952339057066752</v>
      </c>
      <c r="L80" s="165">
        <v>3.0132549845592425</v>
      </c>
      <c r="M80" s="166"/>
      <c r="N80" s="166">
        <v>3.5331286192678335</v>
      </c>
      <c r="O80" s="166">
        <v>5.8211555723055133</v>
      </c>
      <c r="P80" s="166">
        <v>5.1195235037633742</v>
      </c>
      <c r="Q80" s="166">
        <v>4.0620267002764345</v>
      </c>
      <c r="R80" s="165">
        <v>3.1423470623179108</v>
      </c>
      <c r="S80" s="166"/>
      <c r="T80" s="166">
        <v>0</v>
      </c>
      <c r="U80" s="166">
        <v>0</v>
      </c>
      <c r="V80" s="166">
        <v>0</v>
      </c>
      <c r="W80" s="166">
        <v>0</v>
      </c>
      <c r="X80" s="165">
        <v>0</v>
      </c>
      <c r="Y80" s="73" t="str">
        <f t="shared" si="77"/>
        <v>65+</v>
      </c>
      <c r="Z80" s="166">
        <v>5.0779151858860399</v>
      </c>
      <c r="AA80" s="166">
        <v>5.8560125079035359</v>
      </c>
      <c r="AB80" s="166">
        <v>7.4475071119826133</v>
      </c>
      <c r="AC80" s="166">
        <v>8.0611678258540653</v>
      </c>
      <c r="AD80" s="165">
        <v>8.6521443263082798</v>
      </c>
      <c r="AE80" s="166"/>
      <c r="AF80" s="166">
        <v>4.4280912105889678</v>
      </c>
      <c r="AG80" s="166">
        <v>5.1066439452522596</v>
      </c>
      <c r="AH80" s="166">
        <v>6.4944416235841498</v>
      </c>
      <c r="AI80" s="166">
        <v>7.0296284480755258</v>
      </c>
      <c r="AJ80" s="165">
        <v>7.5449282666861546</v>
      </c>
      <c r="AK80" s="166"/>
      <c r="AL80" s="166">
        <v>0.64982397529707225</v>
      </c>
      <c r="AM80" s="166">
        <v>0.74936856265127538</v>
      </c>
      <c r="AN80" s="166">
        <v>0.95306548839846261</v>
      </c>
      <c r="AO80" s="166">
        <v>1.03153937777854</v>
      </c>
      <c r="AP80" s="165">
        <v>1.1072160596221259</v>
      </c>
      <c r="AQ80" s="73" t="str">
        <f t="shared" si="78"/>
        <v>65+</v>
      </c>
      <c r="AR80" s="166">
        <v>10.295940824544813</v>
      </c>
      <c r="AS80" s="166">
        <v>8.0706719921866217</v>
      </c>
      <c r="AT80" s="166">
        <v>14.988736368753946</v>
      </c>
      <c r="AU80" s="166">
        <v>18.053571568162823</v>
      </c>
      <c r="AV80" s="165">
        <v>21.595253626814571</v>
      </c>
      <c r="AW80" s="166"/>
      <c r="AX80" s="166">
        <v>9.5711093689595526</v>
      </c>
      <c r="AY80" s="166">
        <v>7.5024694874410747</v>
      </c>
      <c r="AZ80" s="166">
        <v>13.933474089451744</v>
      </c>
      <c r="BA80" s="166">
        <v>16.782613628155822</v>
      </c>
      <c r="BB80" s="165">
        <v>20.07497877515241</v>
      </c>
      <c r="BC80" s="166"/>
      <c r="BD80" s="166">
        <v>0.72483145558525974</v>
      </c>
      <c r="BE80" s="166">
        <v>0.5682025047455489</v>
      </c>
      <c r="BF80" s="166">
        <v>1.0552622793022017</v>
      </c>
      <c r="BG80" s="166">
        <v>1.2709579400070001</v>
      </c>
      <c r="BH80" s="165">
        <v>1.5202748516621645</v>
      </c>
    </row>
    <row r="81" spans="1:60">
      <c r="B81" s="165"/>
      <c r="C81" s="165"/>
      <c r="D81" s="165"/>
      <c r="E81" s="165"/>
      <c r="F81" s="165"/>
      <c r="G81" s="165"/>
      <c r="H81" s="165"/>
      <c r="I81" s="165"/>
      <c r="J81" s="165"/>
      <c r="K81" s="165"/>
      <c r="L81" s="165"/>
      <c r="M81" s="165"/>
      <c r="N81" s="165"/>
      <c r="O81" s="165"/>
      <c r="P81" s="165"/>
      <c r="Q81" s="165"/>
      <c r="R81" s="165"/>
      <c r="S81" s="165"/>
      <c r="T81" s="76"/>
      <c r="U81" s="76"/>
      <c r="V81" s="76"/>
      <c r="W81" s="76"/>
      <c r="X81" s="76"/>
      <c r="Z81" s="165"/>
      <c r="AA81" s="165"/>
      <c r="AB81" s="165"/>
      <c r="AC81" s="165"/>
      <c r="AD81" s="165"/>
      <c r="AE81" s="165"/>
      <c r="AF81" s="165"/>
      <c r="AG81" s="165"/>
      <c r="AH81" s="165"/>
      <c r="AI81" s="165"/>
      <c r="AJ81" s="165"/>
      <c r="AK81" s="165"/>
      <c r="AL81" s="165"/>
      <c r="AM81" s="165"/>
      <c r="AN81" s="165"/>
      <c r="AO81" s="165"/>
      <c r="AP81" s="165"/>
      <c r="AR81" s="166"/>
      <c r="AS81" s="166"/>
      <c r="AT81" s="166"/>
      <c r="AU81" s="166"/>
      <c r="AV81" s="165"/>
      <c r="AW81" s="165"/>
      <c r="AX81" s="165"/>
      <c r="AY81" s="165"/>
      <c r="AZ81" s="165"/>
      <c r="BA81" s="165"/>
      <c r="BB81" s="165"/>
      <c r="BC81" s="165"/>
      <c r="BD81" s="165"/>
      <c r="BE81" s="165"/>
      <c r="BF81" s="165"/>
      <c r="BG81" s="165"/>
      <c r="BH81" s="165"/>
    </row>
    <row r="82" spans="1:60">
      <c r="A82" s="96" t="str">
        <f>A34</f>
        <v>Females</v>
      </c>
      <c r="B82" s="165"/>
      <c r="C82" s="165"/>
      <c r="D82" s="165"/>
      <c r="E82" s="165"/>
      <c r="F82" s="165"/>
      <c r="G82" s="165"/>
      <c r="H82" s="165"/>
      <c r="I82" s="165"/>
      <c r="J82" s="165"/>
      <c r="K82" s="165"/>
      <c r="L82" s="165"/>
      <c r="M82" s="165"/>
      <c r="N82" s="165"/>
      <c r="O82" s="165"/>
      <c r="P82" s="165"/>
      <c r="Q82" s="165"/>
      <c r="R82" s="165"/>
      <c r="S82" s="165"/>
      <c r="T82" s="76"/>
      <c r="U82" s="76"/>
      <c r="V82" s="76"/>
      <c r="W82" s="76"/>
      <c r="X82" s="76"/>
      <c r="Y82" s="96" t="str">
        <f>Y34</f>
        <v>Females</v>
      </c>
      <c r="Z82" s="165"/>
      <c r="AA82" s="165"/>
      <c r="AB82" s="165"/>
      <c r="AC82" s="165"/>
      <c r="AD82" s="165"/>
      <c r="AE82" s="165"/>
      <c r="AF82" s="165"/>
      <c r="AG82" s="165"/>
      <c r="AH82" s="165"/>
      <c r="AI82" s="165"/>
      <c r="AJ82" s="165"/>
      <c r="AK82" s="165"/>
      <c r="AL82" s="165"/>
      <c r="AM82" s="165"/>
      <c r="AN82" s="165"/>
      <c r="AO82" s="165"/>
      <c r="AP82" s="165"/>
      <c r="AQ82" s="96" t="str">
        <f>AQ34</f>
        <v>Females</v>
      </c>
      <c r="AR82" s="76"/>
      <c r="AS82" s="76"/>
      <c r="AT82" s="76"/>
      <c r="AU82" s="76"/>
      <c r="AV82" s="165"/>
      <c r="AW82" s="165"/>
      <c r="AX82" s="165"/>
      <c r="AY82" s="165"/>
      <c r="AZ82" s="165"/>
      <c r="BA82" s="165"/>
      <c r="BB82" s="165"/>
      <c r="BC82" s="165"/>
      <c r="BD82" s="165"/>
      <c r="BE82" s="165"/>
      <c r="BF82" s="165"/>
      <c r="BG82" s="165"/>
      <c r="BH82" s="165"/>
    </row>
    <row r="83" spans="1:60">
      <c r="A83" s="73" t="str">
        <f>A35</f>
        <v>15+</v>
      </c>
      <c r="B83" s="166">
        <f>SUM(B84:B94)</f>
        <v>423.06360139942507</v>
      </c>
      <c r="C83" s="166">
        <f t="shared" ref="C83:F83" si="79">SUM(C84:C94)</f>
        <v>420.02944292320001</v>
      </c>
      <c r="D83" s="166">
        <f t="shared" si="79"/>
        <v>340.32430055838188</v>
      </c>
      <c r="E83" s="166">
        <f t="shared" si="79"/>
        <v>280.86469102706656</v>
      </c>
      <c r="F83" s="166">
        <f t="shared" si="79"/>
        <v>223.76680386266278</v>
      </c>
      <c r="G83" s="166"/>
      <c r="H83" s="166">
        <f>SUM(H84:H94)</f>
        <v>145.89694047973552</v>
      </c>
      <c r="I83" s="166">
        <f t="shared" ref="I83:L83" si="80">SUM(I84:I94)</f>
        <v>145.07481013301967</v>
      </c>
      <c r="J83" s="166">
        <f t="shared" si="80"/>
        <v>119.0698940829858</v>
      </c>
      <c r="K83" s="166">
        <f t="shared" si="80"/>
        <v>97.685423606672089</v>
      </c>
      <c r="L83" s="166">
        <f t="shared" si="80"/>
        <v>77.126697351246889</v>
      </c>
      <c r="M83" s="166"/>
      <c r="N83" s="166">
        <f>SUM(N84:N94)</f>
        <v>277.16666091968955</v>
      </c>
      <c r="O83" s="166">
        <f t="shared" ref="O83:R83" si="81">SUM(O84:O94)</f>
        <v>274.95463279018031</v>
      </c>
      <c r="P83" s="166">
        <f t="shared" si="81"/>
        <v>221.25440647539608</v>
      </c>
      <c r="Q83" s="166">
        <f t="shared" si="81"/>
        <v>183.17926742039447</v>
      </c>
      <c r="R83" s="166">
        <f t="shared" si="81"/>
        <v>146.64010651141589</v>
      </c>
      <c r="S83" s="166"/>
      <c r="T83" s="166">
        <f>SUM(T84:T94)</f>
        <v>0</v>
      </c>
      <c r="U83" s="166">
        <f t="shared" ref="U83:X83" si="82">SUM(U84:U94)</f>
        <v>0</v>
      </c>
      <c r="V83" s="166">
        <f t="shared" si="82"/>
        <v>0</v>
      </c>
      <c r="W83" s="166">
        <f t="shared" si="82"/>
        <v>0</v>
      </c>
      <c r="X83" s="166">
        <f t="shared" si="82"/>
        <v>0</v>
      </c>
      <c r="Y83" s="73" t="str">
        <f>Y35</f>
        <v>15+</v>
      </c>
      <c r="Z83" s="166">
        <f>SUM(Z84:Z94)</f>
        <v>835.78959562739158</v>
      </c>
      <c r="AA83" s="166">
        <f t="shared" ref="AA83:AD83" si="83">SUM(AA84:AA94)</f>
        <v>817.71951299037789</v>
      </c>
      <c r="AB83" s="166">
        <f t="shared" si="83"/>
        <v>833.46122225056911</v>
      </c>
      <c r="AC83" s="166">
        <f t="shared" si="83"/>
        <v>872.7568149707464</v>
      </c>
      <c r="AD83" s="166">
        <f t="shared" si="83"/>
        <v>906.76405425389191</v>
      </c>
      <c r="AE83" s="166"/>
      <c r="AF83" s="166">
        <f>SUM(AF84:AF94)</f>
        <v>775.49874803920272</v>
      </c>
      <c r="AG83" s="166">
        <f t="shared" ref="AG83:AJ83" si="84">SUM(AG84:AG94)</f>
        <v>758.80872601036992</v>
      </c>
      <c r="AH83" s="166">
        <f t="shared" si="84"/>
        <v>773.5162619397023</v>
      </c>
      <c r="AI83" s="166">
        <f t="shared" si="84"/>
        <v>810.06846896436525</v>
      </c>
      <c r="AJ83" s="166">
        <f t="shared" si="84"/>
        <v>841.89337685638475</v>
      </c>
      <c r="AK83" s="166"/>
      <c r="AL83" s="166">
        <f>SUM(AL84:AL94)</f>
        <v>60.29084758818869</v>
      </c>
      <c r="AM83" s="166">
        <f t="shared" ref="AM83:AP83" si="85">SUM(AM84:AM94)</f>
        <v>58.910786980008034</v>
      </c>
      <c r="AN83" s="166">
        <f t="shared" si="85"/>
        <v>59.944960310866939</v>
      </c>
      <c r="AO83" s="166">
        <f t="shared" si="85"/>
        <v>62.688346006381188</v>
      </c>
      <c r="AP83" s="166">
        <f t="shared" si="85"/>
        <v>64.870677397506995</v>
      </c>
      <c r="AQ83" s="73" t="str">
        <f>AQ35</f>
        <v>15+</v>
      </c>
      <c r="AR83" s="166">
        <f>SUM(AR84:AR94)</f>
        <v>889.40880297318358</v>
      </c>
      <c r="AS83" s="166">
        <f t="shared" ref="AS83:AV83" si="86">SUM(AS84:AS94)</f>
        <v>982.33504408642204</v>
      </c>
      <c r="AT83" s="166">
        <f t="shared" si="86"/>
        <v>1108.5044771910491</v>
      </c>
      <c r="AU83" s="166">
        <f t="shared" si="86"/>
        <v>1230.8314940021869</v>
      </c>
      <c r="AV83" s="166">
        <f t="shared" si="86"/>
        <v>1348.9681418834455</v>
      </c>
      <c r="AW83" s="166"/>
      <c r="AX83" s="166">
        <f>SUM(AX84:AX94)</f>
        <v>879.74824720033962</v>
      </c>
      <c r="AY83" s="166">
        <f t="shared" ref="AY83:BB83" si="87">SUM(AY84:AY94)</f>
        <v>971.10421223711137</v>
      </c>
      <c r="AZ83" s="166">
        <f t="shared" si="87"/>
        <v>1095.1677547026629</v>
      </c>
      <c r="BA83" s="166">
        <f t="shared" si="87"/>
        <v>1216.0188704547381</v>
      </c>
      <c r="BB83" s="166">
        <f t="shared" si="87"/>
        <v>1332.3320678155631</v>
      </c>
      <c r="BC83" s="166"/>
      <c r="BD83" s="166">
        <f>SUM(BD84:BD94)</f>
        <v>9.6605557728437574</v>
      </c>
      <c r="BE83" s="166">
        <f t="shared" ref="BE83:BH83" si="88">SUM(BE84:BE94)</f>
        <v>11.105764362713181</v>
      </c>
      <c r="BF83" s="166">
        <f t="shared" si="88"/>
        <v>13.018684577213577</v>
      </c>
      <c r="BG83" s="166">
        <f t="shared" si="88"/>
        <v>14.812623547448824</v>
      </c>
      <c r="BH83" s="166">
        <f t="shared" si="88"/>
        <v>16.636074067882518</v>
      </c>
    </row>
    <row r="84" spans="1:60">
      <c r="A84" s="73" t="str">
        <f t="shared" ref="A84:A94" si="89">A36</f>
        <v>15-19</v>
      </c>
      <c r="B84" s="166">
        <v>11.952178011992856</v>
      </c>
      <c r="C84" s="166">
        <v>13.402887260222242</v>
      </c>
      <c r="D84" s="166">
        <v>10.497400074288828</v>
      </c>
      <c r="E84" s="166">
        <v>10.487079759394881</v>
      </c>
      <c r="F84" s="165">
        <v>11.380731286753464</v>
      </c>
      <c r="G84" s="165"/>
      <c r="H84" s="166">
        <v>1.9311383476471966</v>
      </c>
      <c r="I84" s="166">
        <v>2.1654425866600273</v>
      </c>
      <c r="J84" s="166">
        <v>1.6960330233653167</v>
      </c>
      <c r="K84" s="166">
        <v>1.6944183086206663</v>
      </c>
      <c r="L84" s="165">
        <v>1.8387489146198699</v>
      </c>
      <c r="M84" s="165"/>
      <c r="N84" s="166">
        <v>10.021039664345659</v>
      </c>
      <c r="O84" s="166">
        <v>11.237444673562216</v>
      </c>
      <c r="P84" s="166">
        <v>8.8013670509235116</v>
      </c>
      <c r="Q84" s="166">
        <v>8.7926614507742151</v>
      </c>
      <c r="R84" s="165">
        <v>9.5419823721335941</v>
      </c>
      <c r="S84" s="165"/>
      <c r="T84" s="166">
        <v>0</v>
      </c>
      <c r="U84" s="166">
        <v>0</v>
      </c>
      <c r="V84" s="166">
        <v>0</v>
      </c>
      <c r="W84" s="166">
        <v>0</v>
      </c>
      <c r="X84" s="165">
        <v>0</v>
      </c>
      <c r="Y84" s="73" t="str">
        <f t="shared" ref="Y84:Y94" si="90">Y36</f>
        <v>15-19</v>
      </c>
      <c r="Z84" s="166">
        <v>10.828592838586953</v>
      </c>
      <c r="AA84" s="166">
        <v>10.260045253180333</v>
      </c>
      <c r="AB84" s="166">
        <v>8.3705620145386224</v>
      </c>
      <c r="AC84" s="166">
        <v>8.9334389435199988</v>
      </c>
      <c r="AD84" s="165">
        <v>10.306241587925554</v>
      </c>
      <c r="AE84" s="165"/>
      <c r="AF84" s="166">
        <v>10.269940466538486</v>
      </c>
      <c r="AG84" s="166">
        <v>9.7306883630573378</v>
      </c>
      <c r="AH84" s="166">
        <v>7.9386523921141237</v>
      </c>
      <c r="AI84" s="166">
        <v>8.4725263317021824</v>
      </c>
      <c r="AJ84" s="165">
        <v>9.7745223494256592</v>
      </c>
      <c r="AK84" s="165"/>
      <c r="AL84" s="166">
        <v>0.55865237204846663</v>
      </c>
      <c r="AM84" s="166">
        <v>0.52935689012299614</v>
      </c>
      <c r="AN84" s="166">
        <v>0.43190962242449843</v>
      </c>
      <c r="AO84" s="166">
        <v>0.46091261181781773</v>
      </c>
      <c r="AP84" s="165">
        <v>0.53171923849989433</v>
      </c>
      <c r="AQ84" s="73" t="str">
        <f t="shared" ref="AQ84:AQ94" si="91">AQ36</f>
        <v>15-19</v>
      </c>
      <c r="AR84" s="166">
        <v>0.12322914942019014</v>
      </c>
      <c r="AS84" s="166">
        <v>0.12506748659742103</v>
      </c>
      <c r="AT84" s="166">
        <v>0.31803791117255348</v>
      </c>
      <c r="AU84" s="166">
        <v>0.32248129708511647</v>
      </c>
      <c r="AV84" s="165">
        <v>0.3530271253209819</v>
      </c>
      <c r="AW84" s="165"/>
      <c r="AX84" s="166">
        <v>0.12322914942019014</v>
      </c>
      <c r="AY84" s="166">
        <v>0</v>
      </c>
      <c r="AZ84" s="166">
        <v>0</v>
      </c>
      <c r="BA84" s="166">
        <v>0.32248129708511647</v>
      </c>
      <c r="BB84" s="165">
        <v>0.3530271253209819</v>
      </c>
      <c r="BC84" s="165"/>
      <c r="BD84" s="166">
        <v>0</v>
      </c>
      <c r="BE84" s="166">
        <v>0</v>
      </c>
      <c r="BF84" s="166">
        <v>0</v>
      </c>
      <c r="BG84" s="166">
        <v>0</v>
      </c>
      <c r="BH84" s="165">
        <v>0</v>
      </c>
    </row>
    <row r="85" spans="1:60">
      <c r="A85" s="73" t="str">
        <f t="shared" si="89"/>
        <v>20-24</v>
      </c>
      <c r="B85" s="166">
        <v>27.162073940488085</v>
      </c>
      <c r="C85" s="166">
        <v>25.818959473458939</v>
      </c>
      <c r="D85" s="166">
        <v>19.430418992506574</v>
      </c>
      <c r="E85" s="166">
        <v>17.065770140454763</v>
      </c>
      <c r="F85" s="165">
        <v>15.339491201948526</v>
      </c>
      <c r="G85" s="165"/>
      <c r="H85" s="166">
        <v>7.738175779416105</v>
      </c>
      <c r="I85" s="166">
        <v>7.3555159173417479</v>
      </c>
      <c r="J85" s="166">
        <v>5.5355294417133862</v>
      </c>
      <c r="K85" s="166">
        <v>4.8618655592881783</v>
      </c>
      <c r="L85" s="165">
        <v>4.370057954996903</v>
      </c>
      <c r="M85" s="165"/>
      <c r="N85" s="166">
        <v>19.423898161071982</v>
      </c>
      <c r="O85" s="166">
        <v>18.463443556117188</v>
      </c>
      <c r="P85" s="166">
        <v>13.894889550793188</v>
      </c>
      <c r="Q85" s="166">
        <v>12.203904581166585</v>
      </c>
      <c r="R85" s="165">
        <v>10.96943324695162</v>
      </c>
      <c r="S85" s="165"/>
      <c r="T85" s="166">
        <v>0</v>
      </c>
      <c r="U85" s="166">
        <v>0</v>
      </c>
      <c r="V85" s="166">
        <v>0</v>
      </c>
      <c r="W85" s="166">
        <v>0</v>
      </c>
      <c r="X85" s="165">
        <v>0</v>
      </c>
      <c r="Y85" s="73" t="str">
        <f t="shared" si="90"/>
        <v>20-24</v>
      </c>
      <c r="Z85" s="166">
        <v>83.029902962100564</v>
      </c>
      <c r="AA85" s="166">
        <v>84.099064086151856</v>
      </c>
      <c r="AB85" s="166">
        <v>75.456016390238844</v>
      </c>
      <c r="AC85" s="166">
        <v>72.409581167242635</v>
      </c>
      <c r="AD85" s="165">
        <v>70.925077672432323</v>
      </c>
      <c r="AE85" s="165"/>
      <c r="AF85" s="166">
        <v>74.996139409236491</v>
      </c>
      <c r="AG85" s="166">
        <v>75.961913287114783</v>
      </c>
      <c r="AH85" s="166">
        <v>68.155149094152151</v>
      </c>
      <c r="AI85" s="166">
        <v>65.403445863093296</v>
      </c>
      <c r="AJ85" s="165">
        <v>64.062544551136526</v>
      </c>
      <c r="AK85" s="165"/>
      <c r="AL85" s="166">
        <v>8.0337635528640625</v>
      </c>
      <c r="AM85" s="166">
        <v>8.1371507990370748</v>
      </c>
      <c r="AN85" s="166">
        <v>7.3008672960866994</v>
      </c>
      <c r="AO85" s="166">
        <v>7.0061353041493399</v>
      </c>
      <c r="AP85" s="165">
        <v>6.8625331212957974</v>
      </c>
      <c r="AQ85" s="73" t="str">
        <f t="shared" si="91"/>
        <v>20-24</v>
      </c>
      <c r="AR85" s="166">
        <v>64.096023097411347</v>
      </c>
      <c r="AS85" s="166">
        <v>59.5749764403892</v>
      </c>
      <c r="AT85" s="166">
        <v>64.928564617254594</v>
      </c>
      <c r="AU85" s="166">
        <v>69.876648692302624</v>
      </c>
      <c r="AV85" s="165">
        <v>76.967431125619157</v>
      </c>
      <c r="AW85" s="165"/>
      <c r="AX85" s="166">
        <v>63.936315058758787</v>
      </c>
      <c r="AY85" s="166">
        <v>59.426553735923072</v>
      </c>
      <c r="AZ85" s="166">
        <v>64.766758302259873</v>
      </c>
      <c r="BA85" s="166">
        <v>69.702519316956455</v>
      </c>
      <c r="BB85" s="165">
        <v>76.775653915926199</v>
      </c>
      <c r="BC85" s="165"/>
      <c r="BD85" s="166">
        <v>0.1597080386525653</v>
      </c>
      <c r="BE85" s="166">
        <v>0.14842270446612335</v>
      </c>
      <c r="BF85" s="166">
        <v>0.16180631499472672</v>
      </c>
      <c r="BG85" s="166">
        <v>0.17412937534616696</v>
      </c>
      <c r="BH85" s="165">
        <v>0.19177720969295214</v>
      </c>
    </row>
    <row r="86" spans="1:60">
      <c r="A86" s="73" t="str">
        <f t="shared" si="89"/>
        <v>25-29</v>
      </c>
      <c r="B86" s="166">
        <v>28.972672566594831</v>
      </c>
      <c r="C86" s="166">
        <v>33.619340539542968</v>
      </c>
      <c r="D86" s="166">
        <v>28.636722146171739</v>
      </c>
      <c r="E86" s="166">
        <v>27.654766165607402</v>
      </c>
      <c r="F86" s="165">
        <v>24.701036177168444</v>
      </c>
      <c r="G86" s="165"/>
      <c r="H86" s="166">
        <v>7.950704122039733</v>
      </c>
      <c r="I86" s="166">
        <v>9.2258401283768823</v>
      </c>
      <c r="J86" s="166">
        <v>7.8585514263485647</v>
      </c>
      <c r="K86" s="166">
        <v>7.589044948115105</v>
      </c>
      <c r="L86" s="165">
        <v>6.778482350960795</v>
      </c>
      <c r="M86" s="165"/>
      <c r="N86" s="166">
        <v>21.021968444555103</v>
      </c>
      <c r="O86" s="166">
        <v>24.393500411166084</v>
      </c>
      <c r="P86" s="166">
        <v>20.778170719823173</v>
      </c>
      <c r="Q86" s="166">
        <v>20.065721217492296</v>
      </c>
      <c r="R86" s="165">
        <v>17.922553826207647</v>
      </c>
      <c r="S86" s="165"/>
      <c r="T86" s="166">
        <v>0</v>
      </c>
      <c r="U86" s="166">
        <v>0</v>
      </c>
      <c r="V86" s="166">
        <v>0</v>
      </c>
      <c r="W86" s="166">
        <v>0</v>
      </c>
      <c r="X86" s="165">
        <v>0</v>
      </c>
      <c r="Y86" s="73" t="str">
        <f t="shared" si="90"/>
        <v>25-29</v>
      </c>
      <c r="Z86" s="166">
        <v>104.35741449365315</v>
      </c>
      <c r="AA86" s="166">
        <v>97.185337610544352</v>
      </c>
      <c r="AB86" s="166">
        <v>95.599811894115447</v>
      </c>
      <c r="AC86" s="166">
        <v>97.118545376405621</v>
      </c>
      <c r="AD86" s="165">
        <v>91.712418531394292</v>
      </c>
      <c r="AE86" s="165"/>
      <c r="AF86" s="166">
        <v>94.421539979508964</v>
      </c>
      <c r="AG86" s="166">
        <v>87.932329636056579</v>
      </c>
      <c r="AH86" s="166">
        <v>86.497719374499709</v>
      </c>
      <c r="AI86" s="166">
        <v>87.87184276496231</v>
      </c>
      <c r="AJ86" s="165">
        <v>82.980425552523215</v>
      </c>
      <c r="AK86" s="165"/>
      <c r="AL86" s="166">
        <v>9.9358745141441993</v>
      </c>
      <c r="AM86" s="166">
        <v>9.2530079744877742</v>
      </c>
      <c r="AN86" s="166">
        <v>9.1020925196157414</v>
      </c>
      <c r="AO86" s="166">
        <v>9.2467026114433057</v>
      </c>
      <c r="AP86" s="165">
        <v>8.7319929788710677</v>
      </c>
      <c r="AQ86" s="73" t="str">
        <f t="shared" si="91"/>
        <v>25-29</v>
      </c>
      <c r="AR86" s="166">
        <v>154.57691293975205</v>
      </c>
      <c r="AS86" s="166">
        <v>158.68732184991271</v>
      </c>
      <c r="AT86" s="166">
        <v>170.7534659597128</v>
      </c>
      <c r="AU86" s="166">
        <v>191.50468845798702</v>
      </c>
      <c r="AV86" s="165">
        <v>199.18454529143727</v>
      </c>
      <c r="AW86" s="165"/>
      <c r="AX86" s="166">
        <v>153.36078875627214</v>
      </c>
      <c r="AY86" s="166">
        <v>157.4389010397588</v>
      </c>
      <c r="AZ86" s="166">
        <v>169.41011412348425</v>
      </c>
      <c r="BA86" s="166">
        <v>189.99801160263456</v>
      </c>
      <c r="BB86" s="165">
        <v>197.61746925057139</v>
      </c>
      <c r="BC86" s="165"/>
      <c r="BD86" s="166">
        <v>1.216124183479921</v>
      </c>
      <c r="BE86" s="166">
        <v>1.2484208101538898</v>
      </c>
      <c r="BF86" s="166">
        <v>1.3433518362285748</v>
      </c>
      <c r="BG86" s="166">
        <v>1.5066768553524434</v>
      </c>
      <c r="BH86" s="165">
        <v>1.5670760408658764</v>
      </c>
    </row>
    <row r="87" spans="1:60">
      <c r="A87" s="73" t="str">
        <f t="shared" si="89"/>
        <v>30-34</v>
      </c>
      <c r="B87" s="166">
        <v>28.548429106302432</v>
      </c>
      <c r="C87" s="166">
        <v>33.358134400600257</v>
      </c>
      <c r="D87" s="166">
        <v>26.133347885177166</v>
      </c>
      <c r="E87" s="166">
        <v>24.365255828037625</v>
      </c>
      <c r="F87" s="165">
        <v>20.217650831183683</v>
      </c>
      <c r="G87" s="165"/>
      <c r="H87" s="166">
        <v>8.8494100941278067</v>
      </c>
      <c r="I87" s="166">
        <v>10.340333649356303</v>
      </c>
      <c r="J87" s="166">
        <v>8.1007469331818331</v>
      </c>
      <c r="K87" s="166">
        <v>7.5527322076666525</v>
      </c>
      <c r="L87" s="165">
        <v>6.2670936294528277</v>
      </c>
      <c r="M87" s="165"/>
      <c r="N87" s="166">
        <v>19.699019012174627</v>
      </c>
      <c r="O87" s="166">
        <v>23.017800751243954</v>
      </c>
      <c r="P87" s="166">
        <v>18.032600951995331</v>
      </c>
      <c r="Q87" s="166">
        <v>16.812523620370971</v>
      </c>
      <c r="R87" s="165">
        <v>13.950557201730856</v>
      </c>
      <c r="S87" s="165"/>
      <c r="T87" s="166">
        <v>0</v>
      </c>
      <c r="U87" s="166">
        <v>0</v>
      </c>
      <c r="V87" s="166">
        <v>0</v>
      </c>
      <c r="W87" s="166">
        <v>0</v>
      </c>
      <c r="X87" s="165">
        <v>0</v>
      </c>
      <c r="Y87" s="73" t="str">
        <f t="shared" si="90"/>
        <v>30-34</v>
      </c>
      <c r="Z87" s="166">
        <v>108.05302506717383</v>
      </c>
      <c r="AA87" s="166">
        <v>98.910651662683122</v>
      </c>
      <c r="AB87" s="166">
        <v>99.823038706554627</v>
      </c>
      <c r="AC87" s="166">
        <v>99.91027324420439</v>
      </c>
      <c r="AD87" s="165">
        <v>100.65577680822747</v>
      </c>
      <c r="AE87" s="165"/>
      <c r="AF87" s="166">
        <v>98.864662354008289</v>
      </c>
      <c r="AG87" s="166">
        <v>90.499770716250708</v>
      </c>
      <c r="AH87" s="166">
        <v>91.334572918369915</v>
      </c>
      <c r="AI87" s="166">
        <v>91.414386042419594</v>
      </c>
      <c r="AJ87" s="165">
        <v>92.096473466363605</v>
      </c>
      <c r="AK87" s="165"/>
      <c r="AL87" s="166">
        <v>9.1883627131655423</v>
      </c>
      <c r="AM87" s="166">
        <v>8.4108809464324228</v>
      </c>
      <c r="AN87" s="166">
        <v>8.4884657881847136</v>
      </c>
      <c r="AO87" s="166">
        <v>8.4958872017847948</v>
      </c>
      <c r="AP87" s="165">
        <v>8.5593033418638793</v>
      </c>
      <c r="AQ87" s="73" t="str">
        <f t="shared" si="91"/>
        <v>30-34</v>
      </c>
      <c r="AR87" s="166">
        <v>154.40154582652374</v>
      </c>
      <c r="AS87" s="166">
        <v>164.11921393671662</v>
      </c>
      <c r="AT87" s="166">
        <v>176.72761340826818</v>
      </c>
      <c r="AU87" s="166">
        <v>194.300470927758</v>
      </c>
      <c r="AV87" s="165">
        <v>216.50257236058886</v>
      </c>
      <c r="AW87" s="165"/>
      <c r="AX87" s="166">
        <v>152.67917871565837</v>
      </c>
      <c r="AY87" s="166">
        <v>162.28847354227025</v>
      </c>
      <c r="AZ87" s="166">
        <v>174.75627406499731</v>
      </c>
      <c r="BA87" s="166">
        <v>192.1331101550017</v>
      </c>
      <c r="BB87" s="165">
        <v>214.08754627952416</v>
      </c>
      <c r="BC87" s="165"/>
      <c r="BD87" s="166">
        <v>1.7223671108653775</v>
      </c>
      <c r="BE87" s="166">
        <v>1.8307403944463407</v>
      </c>
      <c r="BF87" s="166">
        <v>1.9713393432708828</v>
      </c>
      <c r="BG87" s="166">
        <v>2.1673607727562971</v>
      </c>
      <c r="BH87" s="165">
        <v>2.415026081064688</v>
      </c>
    </row>
    <row r="88" spans="1:60">
      <c r="A88" s="73" t="str">
        <f t="shared" si="89"/>
        <v>35-39</v>
      </c>
      <c r="B88" s="166">
        <v>44.016457260235349</v>
      </c>
      <c r="C88" s="166">
        <v>39.976771904202742</v>
      </c>
      <c r="D88" s="166">
        <v>30.464108582682162</v>
      </c>
      <c r="E88" s="166">
        <v>25.442342869618368</v>
      </c>
      <c r="F88" s="165">
        <v>19.313398032930589</v>
      </c>
      <c r="G88" s="165"/>
      <c r="H88" s="166">
        <v>13.170766467977897</v>
      </c>
      <c r="I88" s="166">
        <v>11.962019761666104</v>
      </c>
      <c r="J88" s="166">
        <v>9.1155623116308764</v>
      </c>
      <c r="K88" s="166">
        <v>7.6129848602255867</v>
      </c>
      <c r="L88" s="165">
        <v>5.7790036533667513</v>
      </c>
      <c r="M88" s="165"/>
      <c r="N88" s="166">
        <v>30.845690792257454</v>
      </c>
      <c r="O88" s="166">
        <v>28.014752142536643</v>
      </c>
      <c r="P88" s="166">
        <v>21.348546271051283</v>
      </c>
      <c r="Q88" s="166">
        <v>17.829358009392781</v>
      </c>
      <c r="R88" s="165">
        <v>13.534394379563837</v>
      </c>
      <c r="S88" s="165"/>
      <c r="T88" s="166">
        <v>0</v>
      </c>
      <c r="U88" s="166">
        <v>0</v>
      </c>
      <c r="V88" s="166">
        <v>0</v>
      </c>
      <c r="W88" s="166">
        <v>0</v>
      </c>
      <c r="X88" s="165">
        <v>0</v>
      </c>
      <c r="Y88" s="73" t="str">
        <f t="shared" si="90"/>
        <v>35-39</v>
      </c>
      <c r="Z88" s="166">
        <v>124.3317548459237</v>
      </c>
      <c r="AA88" s="166">
        <v>115.20319439668521</v>
      </c>
      <c r="AB88" s="166">
        <v>103.99848531956397</v>
      </c>
      <c r="AC88" s="166">
        <v>107.78515736503378</v>
      </c>
      <c r="AD88" s="165">
        <v>110.93136167790429</v>
      </c>
      <c r="AE88" s="165"/>
      <c r="AF88" s="166">
        <v>116.17651410584847</v>
      </c>
      <c r="AG88" s="166">
        <v>107.64676072030048</v>
      </c>
      <c r="AH88" s="166">
        <v>97.176962171565435</v>
      </c>
      <c r="AI88" s="166">
        <v>100.71524913353808</v>
      </c>
      <c r="AJ88" s="165">
        <v>103.65514843528025</v>
      </c>
      <c r="AK88" s="165"/>
      <c r="AL88" s="166">
        <v>8.1552407400752234</v>
      </c>
      <c r="AM88" s="166">
        <v>7.5564336763847377</v>
      </c>
      <c r="AN88" s="166">
        <v>6.821523147998537</v>
      </c>
      <c r="AO88" s="166">
        <v>7.06990823149569</v>
      </c>
      <c r="AP88" s="165">
        <v>7.2762132426240571</v>
      </c>
      <c r="AQ88" s="73" t="str">
        <f t="shared" si="91"/>
        <v>35-39</v>
      </c>
      <c r="AR88" s="166">
        <v>141.16078789384099</v>
      </c>
      <c r="AS88" s="166">
        <v>157.71103369911205</v>
      </c>
      <c r="AT88" s="166">
        <v>168.57540609775387</v>
      </c>
      <c r="AU88" s="166">
        <v>191.25249976534786</v>
      </c>
      <c r="AV88" s="165">
        <v>212.66724028916508</v>
      </c>
      <c r="AW88" s="165"/>
      <c r="AX88" s="166">
        <v>139.58664839223439</v>
      </c>
      <c r="AY88" s="166">
        <v>155.9523133601179</v>
      </c>
      <c r="AZ88" s="166">
        <v>166.69556733261371</v>
      </c>
      <c r="BA88" s="166">
        <v>189.11981088672707</v>
      </c>
      <c r="BB88" s="165">
        <v>210.29565301075678</v>
      </c>
      <c r="BC88" s="165"/>
      <c r="BD88" s="166">
        <v>1.5741395016066007</v>
      </c>
      <c r="BE88" s="166">
        <v>1.758720338994133</v>
      </c>
      <c r="BF88" s="166">
        <v>1.8798387651401465</v>
      </c>
      <c r="BG88" s="166">
        <v>2.1326888786208036</v>
      </c>
      <c r="BH88" s="165">
        <v>2.3715872784083478</v>
      </c>
    </row>
    <row r="89" spans="1:60">
      <c r="A89" s="73" t="str">
        <f t="shared" si="89"/>
        <v>40-44</v>
      </c>
      <c r="B89" s="166">
        <v>62.562497845796578</v>
      </c>
      <c r="C89" s="166">
        <v>52.041253862300799</v>
      </c>
      <c r="D89" s="166">
        <v>37.292808343338905</v>
      </c>
      <c r="E89" s="166">
        <v>25.730317953372698</v>
      </c>
      <c r="F89" s="165">
        <v>17.848161884307732</v>
      </c>
      <c r="G89" s="165"/>
      <c r="H89" s="166">
        <v>21.068964130305993</v>
      </c>
      <c r="I89" s="166">
        <v>17.525770127794758</v>
      </c>
      <c r="J89" s="166">
        <v>12.558954308409454</v>
      </c>
      <c r="K89" s="166">
        <v>8.6650962158735219</v>
      </c>
      <c r="L89" s="165">
        <v>6.0106773270790361</v>
      </c>
      <c r="M89" s="165"/>
      <c r="N89" s="166">
        <v>41.493533715490578</v>
      </c>
      <c r="O89" s="166">
        <v>34.515483734506034</v>
      </c>
      <c r="P89" s="166">
        <v>24.73385403492945</v>
      </c>
      <c r="Q89" s="166">
        <v>17.065221737499176</v>
      </c>
      <c r="R89" s="165">
        <v>11.837484557228693</v>
      </c>
      <c r="S89" s="165"/>
      <c r="T89" s="166">
        <v>0</v>
      </c>
      <c r="U89" s="166">
        <v>0</v>
      </c>
      <c r="V89" s="166">
        <v>0</v>
      </c>
      <c r="W89" s="166">
        <v>0</v>
      </c>
      <c r="X89" s="165">
        <v>0</v>
      </c>
      <c r="Y89" s="73" t="str">
        <f t="shared" si="90"/>
        <v>40-44</v>
      </c>
      <c r="Z89" s="166">
        <v>133.43211125882925</v>
      </c>
      <c r="AA89" s="166">
        <v>124.30920077827601</v>
      </c>
      <c r="AB89" s="166">
        <v>114.42328927804037</v>
      </c>
      <c r="AC89" s="166">
        <v>113.59093257500689</v>
      </c>
      <c r="AD89" s="165">
        <v>119.96086291422256</v>
      </c>
      <c r="AE89" s="165"/>
      <c r="AF89" s="166">
        <v>125.56555151187415</v>
      </c>
      <c r="AG89" s="166">
        <v>116.9805269711083</v>
      </c>
      <c r="AH89" s="166">
        <v>107.6774160354275</v>
      </c>
      <c r="AI89" s="166">
        <v>106.89413288813921</v>
      </c>
      <c r="AJ89" s="165">
        <v>112.88853405200165</v>
      </c>
      <c r="AK89" s="165"/>
      <c r="AL89" s="166">
        <v>7.8665597469551063</v>
      </c>
      <c r="AM89" s="166">
        <v>7.3286738071676902</v>
      </c>
      <c r="AN89" s="166">
        <v>6.7458732426128867</v>
      </c>
      <c r="AO89" s="166">
        <v>6.6967996868676751</v>
      </c>
      <c r="AP89" s="165">
        <v>7.0723288622208971</v>
      </c>
      <c r="AQ89" s="73" t="str">
        <f t="shared" si="91"/>
        <v>40-44</v>
      </c>
      <c r="AR89" s="166">
        <v>128.51739089537415</v>
      </c>
      <c r="AS89" s="166">
        <v>144.36154535942319</v>
      </c>
      <c r="AT89" s="166">
        <v>158.66390237862072</v>
      </c>
      <c r="AU89" s="166">
        <v>166.99874947162044</v>
      </c>
      <c r="AV89" s="165">
        <v>185.07097520146974</v>
      </c>
      <c r="AW89" s="165"/>
      <c r="AX89" s="166">
        <v>126.94819387148412</v>
      </c>
      <c r="AY89" s="166">
        <v>142.59892905662338</v>
      </c>
      <c r="AZ89" s="166">
        <v>156.72664379404665</v>
      </c>
      <c r="BA89" s="166">
        <v>164.95975684612029</v>
      </c>
      <c r="BB89" s="165">
        <v>182.81128024141026</v>
      </c>
      <c r="BC89" s="165"/>
      <c r="BD89" s="166">
        <v>1.5691970238900339</v>
      </c>
      <c r="BE89" s="166">
        <v>1.7626163027998376</v>
      </c>
      <c r="BF89" s="166">
        <v>1.937258584574042</v>
      </c>
      <c r="BG89" s="166">
        <v>2.0389926255001587</v>
      </c>
      <c r="BH89" s="165">
        <v>2.2596949600594747</v>
      </c>
    </row>
    <row r="90" spans="1:60">
      <c r="A90" s="73" t="str">
        <f t="shared" si="89"/>
        <v>45-49</v>
      </c>
      <c r="B90" s="166">
        <v>76.803506450596231</v>
      </c>
      <c r="C90" s="166">
        <v>72.369670614720619</v>
      </c>
      <c r="D90" s="166">
        <v>46.757578011014346</v>
      </c>
      <c r="E90" s="166">
        <v>32.914709981477799</v>
      </c>
      <c r="F90" s="165">
        <v>22.643570627464889</v>
      </c>
      <c r="G90" s="165"/>
      <c r="H90" s="166">
        <v>27.94396864638491</v>
      </c>
      <c r="I90" s="166">
        <v>26.330826958934129</v>
      </c>
      <c r="J90" s="166">
        <v>17.012164489510464</v>
      </c>
      <c r="K90" s="166">
        <v>11.975614453855373</v>
      </c>
      <c r="L90" s="165">
        <v>8.2386021908984706</v>
      </c>
      <c r="M90" s="165"/>
      <c r="N90" s="166">
        <v>48.859537804211321</v>
      </c>
      <c r="O90" s="166">
        <v>46.038843655786486</v>
      </c>
      <c r="P90" s="166">
        <v>29.745413521503881</v>
      </c>
      <c r="Q90" s="166">
        <v>20.939095527622428</v>
      </c>
      <c r="R90" s="165">
        <v>14.404968436566421</v>
      </c>
      <c r="S90" s="165"/>
      <c r="T90" s="166">
        <v>0</v>
      </c>
      <c r="U90" s="166">
        <v>0</v>
      </c>
      <c r="V90" s="166">
        <v>0</v>
      </c>
      <c r="W90" s="166">
        <v>0</v>
      </c>
      <c r="X90" s="165">
        <v>0</v>
      </c>
      <c r="Y90" s="73" t="str">
        <f t="shared" si="90"/>
        <v>45-49</v>
      </c>
      <c r="Z90" s="166">
        <v>119.91671183726781</v>
      </c>
      <c r="AA90" s="166">
        <v>117.54013515583459</v>
      </c>
      <c r="AB90" s="166">
        <v>126.00211978783305</v>
      </c>
      <c r="AC90" s="166">
        <v>129.89925725652535</v>
      </c>
      <c r="AD90" s="165">
        <v>132.56976051535059</v>
      </c>
      <c r="AE90" s="165"/>
      <c r="AF90" s="166">
        <v>113.53631898468487</v>
      </c>
      <c r="AG90" s="166">
        <v>111.28619702022586</v>
      </c>
      <c r="AH90" s="166">
        <v>119.29796634507618</v>
      </c>
      <c r="AI90" s="166">
        <v>122.98778022947444</v>
      </c>
      <c r="AJ90" s="165">
        <v>125.51614028502338</v>
      </c>
      <c r="AK90" s="165"/>
      <c r="AL90" s="166">
        <v>6.3803928525829319</v>
      </c>
      <c r="AM90" s="166">
        <v>6.2539381356087462</v>
      </c>
      <c r="AN90" s="166">
        <v>6.7041534427568807</v>
      </c>
      <c r="AO90" s="166">
        <v>6.9114770270509069</v>
      </c>
      <c r="AP90" s="165">
        <v>7.0536202303272111</v>
      </c>
      <c r="AQ90" s="73" t="str">
        <f t="shared" si="91"/>
        <v>45-49</v>
      </c>
      <c r="AR90" s="166">
        <v>113.07878171213598</v>
      </c>
      <c r="AS90" s="166">
        <v>125.98319422944476</v>
      </c>
      <c r="AT90" s="166">
        <v>142.77630220115262</v>
      </c>
      <c r="AU90" s="166">
        <v>151.84003276199684</v>
      </c>
      <c r="AV90" s="165">
        <v>159.15166885718455</v>
      </c>
      <c r="AW90" s="165"/>
      <c r="AX90" s="166">
        <v>111.76159647140302</v>
      </c>
      <c r="AY90" s="166">
        <v>124.51577593370071</v>
      </c>
      <c r="AZ90" s="166">
        <v>141.11320504624786</v>
      </c>
      <c r="BA90" s="166">
        <v>150.07143093938149</v>
      </c>
      <c r="BB90" s="165">
        <v>157.29788066457172</v>
      </c>
      <c r="BC90" s="165"/>
      <c r="BD90" s="166">
        <v>1.3171852407329641</v>
      </c>
      <c r="BE90" s="166">
        <v>1.4674182957440471</v>
      </c>
      <c r="BF90" s="166">
        <v>1.663097154904764</v>
      </c>
      <c r="BG90" s="166">
        <v>1.7686018226153735</v>
      </c>
      <c r="BH90" s="165">
        <v>1.8537881926128472</v>
      </c>
    </row>
    <row r="91" spans="1:60">
      <c r="A91" s="73" t="str">
        <f t="shared" si="89"/>
        <v>50-54</v>
      </c>
      <c r="B91" s="166">
        <v>74.130845817172315</v>
      </c>
      <c r="C91" s="166">
        <v>76.292901659215687</v>
      </c>
      <c r="D91" s="166">
        <v>62.868745854171486</v>
      </c>
      <c r="E91" s="166">
        <v>48.927498060783627</v>
      </c>
      <c r="F91" s="165">
        <v>37.108932956215206</v>
      </c>
      <c r="G91" s="165"/>
      <c r="H91" s="166">
        <v>27.517951911427684</v>
      </c>
      <c r="I91" s="166">
        <v>28.320507284713951</v>
      </c>
      <c r="J91" s="166">
        <v>23.337364458948031</v>
      </c>
      <c r="K91" s="166">
        <v>18.162254416964728</v>
      </c>
      <c r="L91" s="165">
        <v>13.775148267079187</v>
      </c>
      <c r="M91" s="165"/>
      <c r="N91" s="166">
        <v>46.612893905744635</v>
      </c>
      <c r="O91" s="166">
        <v>47.972394374501732</v>
      </c>
      <c r="P91" s="166">
        <v>39.531381395223455</v>
      </c>
      <c r="Q91" s="166">
        <v>30.765243643818895</v>
      </c>
      <c r="R91" s="165">
        <v>23.333784689136024</v>
      </c>
      <c r="S91" s="165"/>
      <c r="T91" s="166">
        <v>0</v>
      </c>
      <c r="U91" s="166">
        <v>0</v>
      </c>
      <c r="V91" s="166">
        <v>0</v>
      </c>
      <c r="W91" s="166">
        <v>0</v>
      </c>
      <c r="X91" s="165">
        <v>0</v>
      </c>
      <c r="Y91" s="73" t="str">
        <f t="shared" si="90"/>
        <v>50-54</v>
      </c>
      <c r="Z91" s="166">
        <v>86.760993384439232</v>
      </c>
      <c r="AA91" s="166">
        <v>96.953240370929649</v>
      </c>
      <c r="AB91" s="166">
        <v>105.73855197584399</v>
      </c>
      <c r="AC91" s="166">
        <v>116.22864044167615</v>
      </c>
      <c r="AD91" s="165">
        <v>126.02469049917889</v>
      </c>
      <c r="AE91" s="165"/>
      <c r="AF91" s="166">
        <v>81.596570349738855</v>
      </c>
      <c r="AG91" s="166">
        <v>91.182181714094824</v>
      </c>
      <c r="AH91" s="166">
        <v>99.444551689154906</v>
      </c>
      <c r="AI91" s="166">
        <v>109.31026683421746</v>
      </c>
      <c r="AJ91" s="165">
        <v>118.52317446256983</v>
      </c>
      <c r="AK91" s="165"/>
      <c r="AL91" s="166">
        <v>5.1644230347003779</v>
      </c>
      <c r="AM91" s="166">
        <v>5.7710586568348159</v>
      </c>
      <c r="AN91" s="166">
        <v>6.2940002866890863</v>
      </c>
      <c r="AO91" s="166">
        <v>6.9183736074586868</v>
      </c>
      <c r="AP91" s="165">
        <v>7.5015160366090656</v>
      </c>
      <c r="AQ91" s="73" t="str">
        <f t="shared" si="91"/>
        <v>50-54</v>
      </c>
      <c r="AR91" s="166">
        <v>76.999160798388473</v>
      </c>
      <c r="AS91" s="166">
        <v>96.560857969854624</v>
      </c>
      <c r="AT91" s="166">
        <v>116.57270216998455</v>
      </c>
      <c r="AU91" s="166">
        <v>128.98986149754023</v>
      </c>
      <c r="AV91" s="165">
        <v>140.9583765446059</v>
      </c>
      <c r="AW91" s="165"/>
      <c r="AX91" s="166">
        <v>76.294968712849709</v>
      </c>
      <c r="AY91" s="166">
        <v>95.677849729956222</v>
      </c>
      <c r="AZ91" s="166">
        <v>115.50670905420014</v>
      </c>
      <c r="BA91" s="166">
        <v>127.81028960948962</v>
      </c>
      <c r="BB91" s="165">
        <v>139.6692906114707</v>
      </c>
      <c r="BC91" s="165"/>
      <c r="BD91" s="166">
        <v>0.70419208553877055</v>
      </c>
      <c r="BE91" s="166">
        <v>0.88300823989842003</v>
      </c>
      <c r="BF91" s="166">
        <v>1.0659931157844085</v>
      </c>
      <c r="BG91" s="166">
        <v>1.1795718880506243</v>
      </c>
      <c r="BH91" s="165">
        <v>1.2890859331351963</v>
      </c>
    </row>
    <row r="92" spans="1:60">
      <c r="A92" s="73" t="str">
        <f t="shared" si="89"/>
        <v>55-59</v>
      </c>
      <c r="B92" s="166">
        <v>50.123111298551322</v>
      </c>
      <c r="C92" s="166">
        <v>49.323988494669976</v>
      </c>
      <c r="D92" s="166">
        <v>54.734368903773372</v>
      </c>
      <c r="E92" s="166">
        <v>46.878192366194043</v>
      </c>
      <c r="F92" s="165">
        <v>36.717928947865651</v>
      </c>
      <c r="G92" s="165"/>
      <c r="H92" s="166">
        <v>20.068212623946785</v>
      </c>
      <c r="I92" s="166">
        <v>19.748271942588062</v>
      </c>
      <c r="J92" s="166">
        <v>21.914478270879478</v>
      </c>
      <c r="K92" s="166">
        <v>18.76897099596793</v>
      </c>
      <c r="L92" s="165">
        <v>14.701046063760439</v>
      </c>
      <c r="M92" s="165"/>
      <c r="N92" s="166">
        <v>30.054898674604537</v>
      </c>
      <c r="O92" s="166">
        <v>29.575716552081918</v>
      </c>
      <c r="P92" s="166">
        <v>32.819890632893888</v>
      </c>
      <c r="Q92" s="166">
        <v>28.109221370226116</v>
      </c>
      <c r="R92" s="165">
        <v>22.016882884105211</v>
      </c>
      <c r="S92" s="165"/>
      <c r="T92" s="166">
        <v>0</v>
      </c>
      <c r="U92" s="166">
        <v>0</v>
      </c>
      <c r="V92" s="166">
        <v>0</v>
      </c>
      <c r="W92" s="166">
        <v>0</v>
      </c>
      <c r="X92" s="165">
        <v>0</v>
      </c>
      <c r="Y92" s="73" t="str">
        <f t="shared" si="90"/>
        <v>55-59</v>
      </c>
      <c r="Z92" s="166">
        <v>50.022718415568512</v>
      </c>
      <c r="AA92" s="166">
        <v>54.941387327680005</v>
      </c>
      <c r="AB92" s="166">
        <v>78.772938863638728</v>
      </c>
      <c r="AC92" s="166">
        <v>94.437586570976393</v>
      </c>
      <c r="AD92" s="165">
        <v>103.91445213238326</v>
      </c>
      <c r="AE92" s="165"/>
      <c r="AF92" s="166">
        <v>46.530169779779939</v>
      </c>
      <c r="AG92" s="166">
        <v>51.105378605023787</v>
      </c>
      <c r="AH92" s="166">
        <v>73.273049746677671</v>
      </c>
      <c r="AI92" s="166">
        <v>87.843993736619538</v>
      </c>
      <c r="AJ92" s="165">
        <v>96.659206845843883</v>
      </c>
      <c r="AK92" s="165"/>
      <c r="AL92" s="166">
        <v>3.4925486357885691</v>
      </c>
      <c r="AM92" s="166">
        <v>3.8360087226562167</v>
      </c>
      <c r="AN92" s="166">
        <v>5.4998891169610493</v>
      </c>
      <c r="AO92" s="166">
        <v>6.5935928343568344</v>
      </c>
      <c r="AP92" s="165">
        <v>7.2552452865393828</v>
      </c>
      <c r="AQ92" s="73" t="str">
        <f t="shared" si="91"/>
        <v>55-59</v>
      </c>
      <c r="AR92" s="166">
        <v>43.944170285880162</v>
      </c>
      <c r="AS92" s="166">
        <v>55.229624177650017</v>
      </c>
      <c r="AT92" s="166">
        <v>80.0286922325879</v>
      </c>
      <c r="AU92" s="166">
        <v>97.06122106282956</v>
      </c>
      <c r="AV92" s="165">
        <v>107.73061891975107</v>
      </c>
      <c r="AW92" s="165"/>
      <c r="AX92" s="166">
        <v>43.298834557519996</v>
      </c>
      <c r="AY92" s="166">
        <v>54.418522326695687</v>
      </c>
      <c r="AZ92" s="166">
        <v>78.853443932668</v>
      </c>
      <c r="BA92" s="166">
        <v>95.635738085376531</v>
      </c>
      <c r="BB92" s="165">
        <v>106.14856157242835</v>
      </c>
      <c r="BC92" s="165"/>
      <c r="BD92" s="166">
        <v>0.64533572836017361</v>
      </c>
      <c r="BE92" s="166">
        <v>0.81110185095432563</v>
      </c>
      <c r="BF92" s="166">
        <v>1.1752482999198919</v>
      </c>
      <c r="BG92" s="166">
        <v>1.4254829774530267</v>
      </c>
      <c r="BH92" s="165">
        <v>1.5820573473227093</v>
      </c>
    </row>
    <row r="93" spans="1:60">
      <c r="A93" s="73" t="str">
        <f t="shared" si="89"/>
        <v>60-64</v>
      </c>
      <c r="B93" s="166">
        <v>13.764231925065078</v>
      </c>
      <c r="C93" s="166">
        <v>18.76836361753071</v>
      </c>
      <c r="D93" s="166">
        <v>18.508542780694757</v>
      </c>
      <c r="E93" s="166">
        <v>17.452835144978611</v>
      </c>
      <c r="F93" s="165">
        <v>14.804084816049919</v>
      </c>
      <c r="G93" s="165"/>
      <c r="H93" s="166">
        <v>6.6702307458031802</v>
      </c>
      <c r="I93" s="166">
        <v>9.0952856087735459</v>
      </c>
      <c r="J93" s="166">
        <v>8.9693500547268563</v>
      </c>
      <c r="K93" s="166">
        <v>8.4577572298816346</v>
      </c>
      <c r="L93" s="165">
        <v>7.1741516654067379</v>
      </c>
      <c r="M93" s="165"/>
      <c r="N93" s="166">
        <v>7.0940011792618973</v>
      </c>
      <c r="O93" s="166">
        <v>9.6730780087571677</v>
      </c>
      <c r="P93" s="166">
        <v>9.5391927259679008</v>
      </c>
      <c r="Q93" s="166">
        <v>8.9950779150969762</v>
      </c>
      <c r="R93" s="165">
        <v>7.62993315064318</v>
      </c>
      <c r="S93" s="165"/>
      <c r="T93" s="166">
        <v>0</v>
      </c>
      <c r="U93" s="166">
        <v>0</v>
      </c>
      <c r="V93" s="166">
        <v>0</v>
      </c>
      <c r="W93" s="166">
        <v>0</v>
      </c>
      <c r="X93" s="165">
        <v>0</v>
      </c>
      <c r="Y93" s="73" t="str">
        <f t="shared" si="90"/>
        <v>60-64</v>
      </c>
      <c r="Z93" s="166">
        <v>12.31020529409596</v>
      </c>
      <c r="AA93" s="166">
        <v>14.261344557443534</v>
      </c>
      <c r="AB93" s="166">
        <v>21.71515850756559</v>
      </c>
      <c r="AC93" s="166">
        <v>28.490108641285989</v>
      </c>
      <c r="AD93" s="165">
        <v>34.561262922202097</v>
      </c>
      <c r="AE93" s="165"/>
      <c r="AF93" s="166">
        <v>11.043928783107889</v>
      </c>
      <c r="AG93" s="166">
        <v>12.794409216272046</v>
      </c>
      <c r="AH93" s="166">
        <v>19.481518497742734</v>
      </c>
      <c r="AI93" s="166">
        <v>25.559606891725771</v>
      </c>
      <c r="AJ93" s="165">
        <v>31.006230901067084</v>
      </c>
      <c r="AK93" s="165"/>
      <c r="AL93" s="166">
        <v>1.2662765109880707</v>
      </c>
      <c r="AM93" s="166">
        <v>1.4669353411714883</v>
      </c>
      <c r="AN93" s="166">
        <v>2.233640009822857</v>
      </c>
      <c r="AO93" s="166">
        <v>2.9305017495602126</v>
      </c>
      <c r="AP93" s="165">
        <v>3.5550320211350139</v>
      </c>
      <c r="AQ93" s="73" t="str">
        <f t="shared" si="91"/>
        <v>60-64</v>
      </c>
      <c r="AR93" s="166">
        <v>10.014562780838963</v>
      </c>
      <c r="AS93" s="166">
        <v>15.861291825025759</v>
      </c>
      <c r="AT93" s="166">
        <v>24.782298711739656</v>
      </c>
      <c r="AU93" s="166">
        <v>32.955056213735411</v>
      </c>
      <c r="AV93" s="165">
        <v>41.965652261747991</v>
      </c>
      <c r="AW93" s="165"/>
      <c r="AX93" s="166">
        <v>9.3191096537115143</v>
      </c>
      <c r="AY93" s="166">
        <v>14.759802271763046</v>
      </c>
      <c r="AZ93" s="166">
        <v>23.061241083126763</v>
      </c>
      <c r="BA93" s="166">
        <v>30.666373272484456</v>
      </c>
      <c r="BB93" s="165">
        <v>39.05130130334193</v>
      </c>
      <c r="BC93" s="165"/>
      <c r="BD93" s="166">
        <v>0.69545312712745089</v>
      </c>
      <c r="BE93" s="166">
        <v>1.1014895532627123</v>
      </c>
      <c r="BF93" s="166">
        <v>1.721057628612892</v>
      </c>
      <c r="BG93" s="166">
        <v>2.2886829412509542</v>
      </c>
      <c r="BH93" s="165">
        <v>2.9143509584060596</v>
      </c>
    </row>
    <row r="94" spans="1:60">
      <c r="A94" s="74" t="str">
        <f t="shared" si="89"/>
        <v>65+</v>
      </c>
      <c r="B94" s="166">
        <v>5.0275971766300218</v>
      </c>
      <c r="C94" s="166">
        <v>5.0571710967350976</v>
      </c>
      <c r="D94" s="166">
        <v>5.0002589845625298</v>
      </c>
      <c r="E94" s="166">
        <v>3.9459227571467377</v>
      </c>
      <c r="F94" s="165">
        <v>3.6918171007746805</v>
      </c>
      <c r="G94" s="167"/>
      <c r="H94" s="166">
        <v>2.987417610658246</v>
      </c>
      <c r="I94" s="166">
        <v>3.0049961668141885</v>
      </c>
      <c r="J94" s="166">
        <v>2.9711593642715379</v>
      </c>
      <c r="K94" s="166">
        <v>2.3446844102127109</v>
      </c>
      <c r="L94" s="165">
        <v>2.1936853336258615</v>
      </c>
      <c r="M94" s="167"/>
      <c r="N94" s="166">
        <v>2.0401795659717767</v>
      </c>
      <c r="O94" s="166">
        <v>2.0521749299209091</v>
      </c>
      <c r="P94" s="166">
        <v>2.0290996202909919</v>
      </c>
      <c r="Q94" s="166">
        <v>1.6012383469340266</v>
      </c>
      <c r="R94" s="165">
        <v>1.4981317671488188</v>
      </c>
      <c r="S94" s="167"/>
      <c r="T94" s="167">
        <v>0</v>
      </c>
      <c r="U94" s="167">
        <v>0</v>
      </c>
      <c r="V94" s="167">
        <v>0</v>
      </c>
      <c r="W94" s="167">
        <v>0</v>
      </c>
      <c r="X94" s="167">
        <v>0</v>
      </c>
      <c r="Y94" s="74" t="str">
        <f t="shared" si="90"/>
        <v>65+</v>
      </c>
      <c r="Z94" s="166">
        <v>2.7461652297525743</v>
      </c>
      <c r="AA94" s="166">
        <v>4.055911790969331</v>
      </c>
      <c r="AB94" s="166">
        <v>3.5612495126359529</v>
      </c>
      <c r="AC94" s="166">
        <v>3.9532933888693056</v>
      </c>
      <c r="AD94" s="165">
        <v>5.2021489926704287</v>
      </c>
      <c r="AE94" s="167"/>
      <c r="AF94" s="166">
        <v>2.4974123148764233</v>
      </c>
      <c r="AG94" s="166">
        <v>3.6885697608652581</v>
      </c>
      <c r="AH94" s="166">
        <v>3.2387036749219651</v>
      </c>
      <c r="AI94" s="166">
        <v>3.5952382484733798</v>
      </c>
      <c r="AJ94" s="165">
        <v>4.7309759551497086</v>
      </c>
      <c r="AK94" s="167"/>
      <c r="AL94" s="166">
        <v>0.24875291487615106</v>
      </c>
      <c r="AM94" s="166">
        <v>0.3673420301040734</v>
      </c>
      <c r="AN94" s="166">
        <v>0.32254583771398837</v>
      </c>
      <c r="AO94" s="166">
        <v>0.35805514039592606</v>
      </c>
      <c r="AP94" s="165">
        <v>0.47117303752072126</v>
      </c>
      <c r="AQ94" s="74" t="str">
        <f t="shared" si="91"/>
        <v>65+</v>
      </c>
      <c r="AR94" s="166">
        <v>2.4962375936174048</v>
      </c>
      <c r="AS94" s="166">
        <v>4.1209171122955697</v>
      </c>
      <c r="AT94" s="166">
        <v>4.3774915028015169</v>
      </c>
      <c r="AU94" s="166">
        <v>5.7297838539839567</v>
      </c>
      <c r="AV94" s="165">
        <v>8.4160339065548904</v>
      </c>
      <c r="AW94" s="167"/>
      <c r="AX94" s="166">
        <v>2.4393838610275034</v>
      </c>
      <c r="AY94" s="166">
        <v>4.0270912403022177</v>
      </c>
      <c r="AZ94" s="166">
        <v>4.2777979690182679</v>
      </c>
      <c r="BA94" s="166">
        <v>5.5993484434809799</v>
      </c>
      <c r="BB94" s="165">
        <v>8.2244038402405248</v>
      </c>
      <c r="BC94" s="167"/>
      <c r="BD94" s="166">
        <v>5.6853732589901257E-2</v>
      </c>
      <c r="BE94" s="166">
        <v>9.3825871993351684E-2</v>
      </c>
      <c r="BF94" s="166">
        <v>9.9693533783248439E-2</v>
      </c>
      <c r="BG94" s="166">
        <v>0.13043541050297702</v>
      </c>
      <c r="BH94" s="165">
        <v>0.19163006631436572</v>
      </c>
    </row>
    <row r="95" spans="1:60">
      <c r="A95" s="78"/>
      <c r="B95" s="168"/>
      <c r="C95" s="168"/>
      <c r="D95" s="168"/>
      <c r="E95" s="168"/>
      <c r="F95" s="168"/>
      <c r="G95" s="168"/>
      <c r="H95" s="168"/>
      <c r="I95" s="168"/>
      <c r="J95" s="168"/>
      <c r="K95" s="168"/>
      <c r="L95" s="168"/>
      <c r="M95" s="168"/>
      <c r="N95" s="168"/>
      <c r="O95" s="168"/>
      <c r="P95" s="168"/>
      <c r="Q95" s="168"/>
      <c r="R95" s="168"/>
      <c r="S95" s="168"/>
      <c r="Y95" s="78"/>
      <c r="Z95" s="168"/>
      <c r="AA95" s="168"/>
      <c r="AB95" s="168"/>
      <c r="AC95" s="168"/>
      <c r="AD95" s="168"/>
      <c r="AE95" s="168"/>
      <c r="AF95" s="168"/>
      <c r="AG95" s="168"/>
      <c r="AH95" s="168"/>
      <c r="AI95" s="168"/>
      <c r="AJ95" s="168"/>
      <c r="AK95" s="168"/>
      <c r="AL95" s="168"/>
      <c r="AM95" s="168"/>
      <c r="AN95" s="168"/>
      <c r="AO95" s="168"/>
      <c r="AP95" s="168"/>
      <c r="AQ95" s="78"/>
      <c r="AR95" s="168"/>
      <c r="AS95" s="168"/>
      <c r="AT95" s="168"/>
      <c r="AU95" s="168"/>
      <c r="AV95" s="168"/>
      <c r="AW95" s="168"/>
      <c r="AX95" s="168"/>
      <c r="AY95" s="168"/>
      <c r="AZ95" s="168"/>
      <c r="BA95" s="168"/>
      <c r="BB95" s="168"/>
      <c r="BC95" s="168"/>
      <c r="BD95" s="168"/>
      <c r="BE95" s="168"/>
      <c r="BF95" s="168"/>
      <c r="BG95" s="168"/>
      <c r="BH95" s="168"/>
    </row>
    <row r="97" spans="1:1">
      <c r="A97" s="73" t="s">
        <v>245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>
      <c r="A1" s="205" t="s">
        <v>246</v>
      </c>
      <c r="B1" s="205" t="s">
        <v>247</v>
      </c>
      <c r="C1" s="205" t="s">
        <v>248</v>
      </c>
      <c r="D1" s="205" t="s">
        <v>249</v>
      </c>
      <c r="E1" s="205" t="s">
        <v>250</v>
      </c>
      <c r="F1" s="207" t="s">
        <v>251</v>
      </c>
      <c r="G1" s="207" t="s">
        <v>252</v>
      </c>
      <c r="H1" s="207" t="s">
        <v>253</v>
      </c>
      <c r="I1" s="207"/>
      <c r="J1" s="207" t="s">
        <v>254</v>
      </c>
      <c r="K1" s="108"/>
      <c r="L1" s="1"/>
    </row>
    <row r="2" spans="1:12" s="13" customFormat="1">
      <c r="A2" s="206" t="s">
        <v>255</v>
      </c>
      <c r="B2" s="206" t="s">
        <v>256</v>
      </c>
      <c r="C2" s="206" t="s">
        <v>257</v>
      </c>
      <c r="D2" s="108" t="s">
        <v>258</v>
      </c>
      <c r="E2" s="108" t="s">
        <v>259</v>
      </c>
      <c r="F2" s="206" t="s">
        <v>260</v>
      </c>
      <c r="G2" s="206" t="s">
        <v>261</v>
      </c>
      <c r="H2" s="108" t="s">
        <v>262</v>
      </c>
      <c r="I2" s="108" t="s">
        <v>231</v>
      </c>
      <c r="J2" s="108" t="s">
        <v>177</v>
      </c>
      <c r="K2" s="108" t="s">
        <v>263</v>
      </c>
      <c r="L2" s="65"/>
    </row>
    <row r="3" spans="1:12">
      <c r="A3" s="10" t="s">
        <v>153</v>
      </c>
      <c r="B3" s="108" t="s">
        <v>153</v>
      </c>
      <c r="C3" s="10" t="s">
        <v>153</v>
      </c>
      <c r="D3" s="108" t="s">
        <v>264</v>
      </c>
      <c r="E3" s="108" t="s">
        <v>264</v>
      </c>
      <c r="F3" s="108" t="s">
        <v>265</v>
      </c>
      <c r="G3" s="108" t="s">
        <v>265</v>
      </c>
      <c r="H3" s="108" t="s">
        <v>266</v>
      </c>
      <c r="I3" s="108" t="s">
        <v>157</v>
      </c>
      <c r="J3" s="108" t="s">
        <v>267</v>
      </c>
      <c r="K3" s="108" t="s">
        <v>268</v>
      </c>
    </row>
    <row r="4" spans="1:12">
      <c r="A4" s="10" t="s">
        <v>269</v>
      </c>
      <c r="B4" s="108" t="s">
        <v>270</v>
      </c>
      <c r="C4" s="10" t="s">
        <v>271</v>
      </c>
      <c r="D4" s="108" t="s">
        <v>272</v>
      </c>
      <c r="E4" s="108" t="s">
        <v>273</v>
      </c>
      <c r="F4" s="108" t="s">
        <v>274</v>
      </c>
      <c r="G4" s="108" t="s">
        <v>275</v>
      </c>
      <c r="H4" s="108" t="s">
        <v>276</v>
      </c>
      <c r="I4" s="108" t="s">
        <v>158</v>
      </c>
      <c r="J4" s="108" t="s">
        <v>138</v>
      </c>
      <c r="K4" s="108" t="s">
        <v>178</v>
      </c>
    </row>
    <row r="5" spans="1:12">
      <c r="A5" s="10" t="s">
        <v>277</v>
      </c>
      <c r="B5" s="108" t="s">
        <v>278</v>
      </c>
      <c r="C5" s="10" t="s">
        <v>279</v>
      </c>
      <c r="D5" s="108" t="s">
        <v>280</v>
      </c>
      <c r="E5" s="108" t="s">
        <v>281</v>
      </c>
      <c r="F5" s="108" t="s">
        <v>282</v>
      </c>
      <c r="G5" s="108" t="s">
        <v>283</v>
      </c>
      <c r="H5" s="108"/>
      <c r="I5" s="108"/>
      <c r="J5" s="108" t="s">
        <v>136</v>
      </c>
      <c r="K5" s="108" t="s">
        <v>284</v>
      </c>
    </row>
    <row r="6" spans="1:12">
      <c r="A6" s="10" t="s">
        <v>285</v>
      </c>
      <c r="B6" s="108" t="s">
        <v>286</v>
      </c>
      <c r="C6" s="10" t="s">
        <v>287</v>
      </c>
      <c r="D6" s="108" t="s">
        <v>288</v>
      </c>
      <c r="E6" s="108" t="s">
        <v>289</v>
      </c>
      <c r="F6" s="108" t="s">
        <v>290</v>
      </c>
      <c r="G6" s="108" t="s">
        <v>291</v>
      </c>
      <c r="H6" s="108"/>
      <c r="I6" s="108"/>
      <c r="J6" s="108" t="s">
        <v>137</v>
      </c>
      <c r="K6" s="108" t="s">
        <v>292</v>
      </c>
    </row>
    <row r="7" spans="1:12">
      <c r="A7" s="10" t="s">
        <v>293</v>
      </c>
      <c r="B7" s="108" t="s">
        <v>294</v>
      </c>
      <c r="C7" s="10" t="s">
        <v>295</v>
      </c>
      <c r="D7" s="108" t="s">
        <v>296</v>
      </c>
      <c r="E7" s="108" t="s">
        <v>297</v>
      </c>
      <c r="F7" s="108" t="s">
        <v>298</v>
      </c>
      <c r="G7" s="108" t="s">
        <v>299</v>
      </c>
    </row>
    <row r="8" spans="1:12">
      <c r="A8" s="10" t="s">
        <v>300</v>
      </c>
      <c r="B8" s="108" t="s">
        <v>301</v>
      </c>
      <c r="C8" s="10" t="s">
        <v>302</v>
      </c>
      <c r="D8" s="108" t="s">
        <v>303</v>
      </c>
      <c r="E8" s="108" t="s">
        <v>304</v>
      </c>
      <c r="F8" s="108" t="s">
        <v>305</v>
      </c>
      <c r="G8" s="108" t="s">
        <v>306</v>
      </c>
    </row>
    <row r="9" spans="1:12">
      <c r="A9" s="10" t="s">
        <v>307</v>
      </c>
      <c r="B9" s="108" t="s">
        <v>308</v>
      </c>
      <c r="C9" s="10" t="s">
        <v>309</v>
      </c>
      <c r="D9" s="108" t="s">
        <v>310</v>
      </c>
      <c r="E9" s="108" t="s">
        <v>311</v>
      </c>
      <c r="F9" s="108" t="s">
        <v>291</v>
      </c>
      <c r="G9" s="108" t="s">
        <v>312</v>
      </c>
    </row>
    <row r="10" spans="1:12">
      <c r="A10" s="10" t="s">
        <v>313</v>
      </c>
      <c r="B10" s="108" t="s">
        <v>314</v>
      </c>
      <c r="C10" t="s">
        <v>315</v>
      </c>
      <c r="D10" s="108" t="s">
        <v>316</v>
      </c>
      <c r="E10" s="108" t="s">
        <v>317</v>
      </c>
      <c r="F10" s="108" t="s">
        <v>299</v>
      </c>
      <c r="G10" s="108"/>
    </row>
    <row r="11" spans="1:12">
      <c r="A11" s="10" t="s">
        <v>318</v>
      </c>
      <c r="B11" s="108" t="s">
        <v>287</v>
      </c>
      <c r="C11" t="s">
        <v>315</v>
      </c>
      <c r="D11" s="108" t="s">
        <v>319</v>
      </c>
      <c r="E11" s="108" t="s">
        <v>320</v>
      </c>
      <c r="F11" s="108" t="s">
        <v>306</v>
      </c>
      <c r="G11" s="108"/>
      <c r="I11" s="65"/>
    </row>
    <row r="12" spans="1:12">
      <c r="A12" s="10" t="s">
        <v>321</v>
      </c>
      <c r="B12" s="108" t="s">
        <v>322</v>
      </c>
      <c r="C12" t="s">
        <v>315</v>
      </c>
      <c r="D12" s="108" t="s">
        <v>323</v>
      </c>
      <c r="E12" s="108" t="s">
        <v>324</v>
      </c>
      <c r="F12" s="108" t="s">
        <v>312</v>
      </c>
      <c r="G12" s="108"/>
    </row>
    <row r="13" spans="1:12">
      <c r="A13" s="10" t="s">
        <v>325</v>
      </c>
      <c r="B13" s="108" t="s">
        <v>326</v>
      </c>
      <c r="C13" t="s">
        <v>315</v>
      </c>
      <c r="D13" s="108" t="s">
        <v>327</v>
      </c>
    </row>
    <row r="14" spans="1:12">
      <c r="A14" s="10" t="s">
        <v>328</v>
      </c>
      <c r="B14" s="108" t="s">
        <v>329</v>
      </c>
      <c r="C14" t="s">
        <v>315</v>
      </c>
      <c r="D14" s="108" t="s">
        <v>330</v>
      </c>
      <c r="E14" t="s">
        <v>315</v>
      </c>
    </row>
    <row r="15" spans="1:12">
      <c r="A15" s="10" t="s">
        <v>331</v>
      </c>
      <c r="B15" s="108" t="s">
        <v>332</v>
      </c>
      <c r="C15" t="s">
        <v>315</v>
      </c>
      <c r="D15" s="108" t="s">
        <v>333</v>
      </c>
      <c r="E15" t="s">
        <v>315</v>
      </c>
      <c r="I15" s="65"/>
    </row>
    <row r="16" spans="1:12">
      <c r="A16" s="10" t="s">
        <v>334</v>
      </c>
      <c r="B16" s="108" t="s">
        <v>335</v>
      </c>
      <c r="C16" t="s">
        <v>315</v>
      </c>
      <c r="D16" s="108" t="s">
        <v>336</v>
      </c>
      <c r="E16" t="s">
        <v>315</v>
      </c>
    </row>
    <row r="17" spans="1:9">
      <c r="A17" s="10" t="s">
        <v>337</v>
      </c>
      <c r="B17" s="108" t="s">
        <v>338</v>
      </c>
      <c r="C17" t="s">
        <v>315</v>
      </c>
      <c r="D17" s="108" t="s">
        <v>339</v>
      </c>
      <c r="E17" t="s">
        <v>315</v>
      </c>
      <c r="I17" s="65"/>
    </row>
    <row r="18" spans="1:9">
      <c r="A18" s="10" t="s">
        <v>340</v>
      </c>
      <c r="B18" s="108" t="s">
        <v>341</v>
      </c>
      <c r="C18" t="s">
        <v>315</v>
      </c>
      <c r="D18" s="108" t="s">
        <v>342</v>
      </c>
      <c r="E18" t="s">
        <v>315</v>
      </c>
    </row>
    <row r="19" spans="1:9">
      <c r="A19" s="10" t="s">
        <v>343</v>
      </c>
      <c r="B19" s="108" t="s">
        <v>344</v>
      </c>
      <c r="C19" t="s">
        <v>315</v>
      </c>
      <c r="D19" s="108" t="s">
        <v>345</v>
      </c>
      <c r="E19" t="s">
        <v>315</v>
      </c>
    </row>
    <row r="20" spans="1:9">
      <c r="A20" s="10" t="s">
        <v>346</v>
      </c>
      <c r="B20" s="108" t="s">
        <v>347</v>
      </c>
      <c r="C20" t="s">
        <v>315</v>
      </c>
      <c r="D20" s="108" t="s">
        <v>348</v>
      </c>
      <c r="E20" t="s">
        <v>315</v>
      </c>
    </row>
    <row r="21" spans="1:9">
      <c r="A21" s="10" t="s">
        <v>349</v>
      </c>
      <c r="B21" s="108" t="s">
        <v>350</v>
      </c>
      <c r="C21" t="s">
        <v>315</v>
      </c>
      <c r="D21" s="108" t="s">
        <v>351</v>
      </c>
    </row>
    <row r="22" spans="1:9">
      <c r="A22" s="10" t="s">
        <v>352</v>
      </c>
      <c r="B22" s="108" t="s">
        <v>353</v>
      </c>
      <c r="C22" t="s">
        <v>315</v>
      </c>
      <c r="D22" s="108" t="s">
        <v>354</v>
      </c>
      <c r="E22" t="s">
        <v>315</v>
      </c>
      <c r="I22" s="65"/>
    </row>
    <row r="23" spans="1:9">
      <c r="A23" s="10" t="s">
        <v>355</v>
      </c>
      <c r="B23" s="108" t="s">
        <v>356</v>
      </c>
      <c r="C23" t="s">
        <v>315</v>
      </c>
      <c r="D23" s="108" t="s">
        <v>357</v>
      </c>
      <c r="E23" t="s">
        <v>315</v>
      </c>
    </row>
    <row r="24" spans="1:9">
      <c r="A24" s="10" t="s">
        <v>358</v>
      </c>
      <c r="B24" s="108" t="s">
        <v>359</v>
      </c>
      <c r="C24" t="s">
        <v>315</v>
      </c>
      <c r="D24" s="108" t="s">
        <v>360</v>
      </c>
      <c r="E24" t="s">
        <v>315</v>
      </c>
    </row>
    <row r="25" spans="1:9">
      <c r="A25" s="10" t="s">
        <v>361</v>
      </c>
      <c r="B25" s="108" t="s">
        <v>362</v>
      </c>
      <c r="C25" t="s">
        <v>315</v>
      </c>
      <c r="D25" s="108" t="s">
        <v>363</v>
      </c>
      <c r="E25" t="s">
        <v>315</v>
      </c>
    </row>
    <row r="26" spans="1:9">
      <c r="A26" s="10" t="s">
        <v>364</v>
      </c>
      <c r="C26" t="s">
        <v>315</v>
      </c>
      <c r="D26" s="108" t="s">
        <v>365</v>
      </c>
      <c r="E26" t="s">
        <v>315</v>
      </c>
      <c r="I26" s="65"/>
    </row>
    <row r="27" spans="1:9">
      <c r="A27" s="10" t="s">
        <v>366</v>
      </c>
      <c r="C27" t="s">
        <v>315</v>
      </c>
      <c r="D27" s="108" t="s">
        <v>367</v>
      </c>
      <c r="E27" t="s">
        <v>315</v>
      </c>
    </row>
    <row r="28" spans="1:9">
      <c r="A28" s="10" t="s">
        <v>368</v>
      </c>
      <c r="C28" t="s">
        <v>315</v>
      </c>
      <c r="D28" s="108" t="s">
        <v>369</v>
      </c>
      <c r="E28" t="s">
        <v>315</v>
      </c>
    </row>
    <row r="29" spans="1:9">
      <c r="A29" s="10" t="s">
        <v>370</v>
      </c>
      <c r="C29" t="s">
        <v>315</v>
      </c>
      <c r="D29" t="s">
        <v>371</v>
      </c>
      <c r="E29" t="s">
        <v>315</v>
      </c>
    </row>
    <row r="30" spans="1:9">
      <c r="A30" s="10" t="s">
        <v>372</v>
      </c>
      <c r="C30" t="s">
        <v>315</v>
      </c>
      <c r="E30" t="s">
        <v>315</v>
      </c>
    </row>
    <row r="31" spans="1:9">
      <c r="A31" s="10" t="s">
        <v>287</v>
      </c>
      <c r="C31" t="s">
        <v>315</v>
      </c>
      <c r="D31" t="s">
        <v>315</v>
      </c>
      <c r="E31" t="s">
        <v>315</v>
      </c>
    </row>
    <row r="32" spans="1:9">
      <c r="A32" s="10" t="s">
        <v>373</v>
      </c>
      <c r="C32" t="s">
        <v>315</v>
      </c>
      <c r="D32" t="s">
        <v>315</v>
      </c>
      <c r="E32" t="s">
        <v>315</v>
      </c>
      <c r="I32" s="65"/>
    </row>
    <row r="33" spans="1:9">
      <c r="A33" s="10" t="s">
        <v>374</v>
      </c>
      <c r="C33" t="s">
        <v>315</v>
      </c>
      <c r="D33" t="s">
        <v>315</v>
      </c>
      <c r="E33" t="s">
        <v>315</v>
      </c>
    </row>
    <row r="34" spans="1:9">
      <c r="A34" s="10" t="s">
        <v>375</v>
      </c>
      <c r="C34" t="s">
        <v>315</v>
      </c>
      <c r="D34" t="s">
        <v>315</v>
      </c>
      <c r="E34" t="s">
        <v>315</v>
      </c>
    </row>
    <row r="35" spans="1:9">
      <c r="A35" s="10" t="s">
        <v>376</v>
      </c>
      <c r="C35" t="s">
        <v>315</v>
      </c>
      <c r="D35" t="s">
        <v>315</v>
      </c>
      <c r="E35" t="s">
        <v>315</v>
      </c>
    </row>
    <row r="36" spans="1:9">
      <c r="A36" s="10" t="s">
        <v>377</v>
      </c>
      <c r="C36" t="s">
        <v>315</v>
      </c>
      <c r="D36" t="s">
        <v>315</v>
      </c>
      <c r="E36" t="s">
        <v>315</v>
      </c>
    </row>
    <row r="37" spans="1:9">
      <c r="A37" s="10" t="s">
        <v>378</v>
      </c>
      <c r="C37" t="s">
        <v>315</v>
      </c>
      <c r="D37" t="s">
        <v>315</v>
      </c>
      <c r="E37" t="s">
        <v>315</v>
      </c>
    </row>
    <row r="38" spans="1:9">
      <c r="A38" s="10" t="s">
        <v>379</v>
      </c>
      <c r="C38" t="s">
        <v>315</v>
      </c>
      <c r="D38" t="s">
        <v>315</v>
      </c>
      <c r="E38" t="s">
        <v>315</v>
      </c>
    </row>
    <row r="39" spans="1:9">
      <c r="A39" s="10" t="s">
        <v>380</v>
      </c>
      <c r="C39" t="s">
        <v>315</v>
      </c>
      <c r="D39" t="s">
        <v>315</v>
      </c>
      <c r="E39" t="s">
        <v>315</v>
      </c>
      <c r="I39" s="106"/>
    </row>
    <row r="40" spans="1:9">
      <c r="A40" s="10" t="s">
        <v>381</v>
      </c>
      <c r="C40" t="s">
        <v>315</v>
      </c>
      <c r="D40" t="s">
        <v>315</v>
      </c>
      <c r="E40" t="s">
        <v>315</v>
      </c>
      <c r="I40" s="65"/>
    </row>
    <row r="41" spans="1:9">
      <c r="A41" s="10" t="s">
        <v>382</v>
      </c>
      <c r="C41" t="s">
        <v>315</v>
      </c>
      <c r="D41" t="s">
        <v>315</v>
      </c>
      <c r="E41" t="s">
        <v>315</v>
      </c>
    </row>
    <row r="42" spans="1:9">
      <c r="A42" s="10" t="s">
        <v>383</v>
      </c>
      <c r="C42" t="s">
        <v>315</v>
      </c>
      <c r="D42" t="s">
        <v>315</v>
      </c>
      <c r="E42" t="s">
        <v>315</v>
      </c>
    </row>
    <row r="43" spans="1:9">
      <c r="A43" s="10" t="s">
        <v>384</v>
      </c>
      <c r="C43" t="s">
        <v>315</v>
      </c>
      <c r="D43" t="s">
        <v>315</v>
      </c>
      <c r="E43" t="s">
        <v>315</v>
      </c>
    </row>
    <row r="44" spans="1:9">
      <c r="A44" s="10" t="s">
        <v>385</v>
      </c>
      <c r="D44" t="s">
        <v>315</v>
      </c>
      <c r="E44" t="s">
        <v>315</v>
      </c>
    </row>
    <row r="45" spans="1:9">
      <c r="A45" s="10" t="s">
        <v>386</v>
      </c>
    </row>
    <row r="46" spans="1:9">
      <c r="A46" s="10" t="s">
        <v>387</v>
      </c>
      <c r="I46" s="65"/>
    </row>
    <row r="47" spans="1:9">
      <c r="A47" s="10" t="s">
        <v>388</v>
      </c>
    </row>
    <row r="48" spans="1:9">
      <c r="A48" s="10" t="s">
        <v>389</v>
      </c>
    </row>
    <row r="49" spans="1:9">
      <c r="A49" s="10" t="s">
        <v>390</v>
      </c>
    </row>
    <row r="50" spans="1:9">
      <c r="A50" s="10" t="s">
        <v>391</v>
      </c>
    </row>
    <row r="51" spans="1:9">
      <c r="A51" s="10" t="s">
        <v>392</v>
      </c>
      <c r="I51" s="65"/>
    </row>
    <row r="52" spans="1:9">
      <c r="A52" s="10" t="s">
        <v>393</v>
      </c>
    </row>
    <row r="53" spans="1:9">
      <c r="A53" s="10" t="s">
        <v>341</v>
      </c>
    </row>
    <row r="54" spans="1:9">
      <c r="A54" s="10" t="s">
        <v>394</v>
      </c>
    </row>
    <row r="55" spans="1:9">
      <c r="A55" s="10" t="s">
        <v>395</v>
      </c>
    </row>
    <row r="56" spans="1:9">
      <c r="A56" s="10" t="s">
        <v>396</v>
      </c>
      <c r="I56" s="65"/>
    </row>
    <row r="57" spans="1:9">
      <c r="A57" s="10" t="s">
        <v>397</v>
      </c>
    </row>
    <row r="58" spans="1:9">
      <c r="A58" s="10" t="s">
        <v>398</v>
      </c>
    </row>
    <row r="59" spans="1:9">
      <c r="A59" s="10" t="s">
        <v>399</v>
      </c>
    </row>
    <row r="60" spans="1:9">
      <c r="A60" s="10" t="s">
        <v>400</v>
      </c>
    </row>
    <row r="61" spans="1:9">
      <c r="A61" s="10" t="s">
        <v>401</v>
      </c>
    </row>
    <row r="62" spans="1:9">
      <c r="A62" s="10" t="s">
        <v>402</v>
      </c>
    </row>
    <row r="63" spans="1:9">
      <c r="A63" s="10" t="s">
        <v>403</v>
      </c>
    </row>
    <row r="64" spans="1:9">
      <c r="A64" s="10" t="s">
        <v>404</v>
      </c>
    </row>
    <row r="65" spans="1:9">
      <c r="A65" s="10" t="s">
        <v>405</v>
      </c>
      <c r="I65" s="65"/>
    </row>
    <row r="66" spans="1:9">
      <c r="A66" s="10" t="s">
        <v>406</v>
      </c>
    </row>
    <row r="67" spans="1:9">
      <c r="A67" s="10" t="s">
        <v>407</v>
      </c>
    </row>
    <row r="68" spans="1:9">
      <c r="A68" s="10" t="s">
        <v>408</v>
      </c>
    </row>
    <row r="69" spans="1:9">
      <c r="A69" s="10" t="s">
        <v>409</v>
      </c>
    </row>
    <row r="70" spans="1:9">
      <c r="A70" s="10" t="s">
        <v>410</v>
      </c>
    </row>
    <row r="71" spans="1:9">
      <c r="A71" s="10" t="s">
        <v>411</v>
      </c>
      <c r="I71" s="65"/>
    </row>
    <row r="72" spans="1:9">
      <c r="A72" s="10" t="s">
        <v>359</v>
      </c>
    </row>
    <row r="73" spans="1:9">
      <c r="A73" s="10" t="s">
        <v>412</v>
      </c>
    </row>
    <row r="74" spans="1:9">
      <c r="A74" s="10" t="s">
        <v>413</v>
      </c>
      <c r="I74" s="65"/>
    </row>
    <row r="75" spans="1:9">
      <c r="A75" s="10" t="s">
        <v>414</v>
      </c>
    </row>
    <row r="76" spans="1:9">
      <c r="A76" s="10" t="s">
        <v>415</v>
      </c>
    </row>
    <row r="77" spans="1:9">
      <c r="A77" s="10" t="s">
        <v>416</v>
      </c>
    </row>
    <row r="78" spans="1:9">
      <c r="A78" s="10" t="s">
        <v>417</v>
      </c>
    </row>
    <row r="81" spans="9:9">
      <c r="I81" s="65"/>
    </row>
    <row r="85" spans="9:9">
      <c r="I85" s="65"/>
    </row>
    <row r="91" spans="9:9">
      <c r="I91" s="65"/>
    </row>
    <row r="96" spans="9:9">
      <c r="I96" s="65"/>
    </row>
    <row r="101" spans="9:9">
      <c r="I101" s="65"/>
    </row>
    <row r="106" spans="9:9">
      <c r="I106" s="65"/>
    </row>
    <row r="111" spans="9:9">
      <c r="I111" s="65"/>
    </row>
    <row r="119" spans="9:9">
      <c r="I119" s="65"/>
    </row>
    <row r="129" spans="9:9">
      <c r="I129" s="65"/>
    </row>
    <row r="134" spans="9:9">
      <c r="I134" s="65"/>
    </row>
    <row r="141" spans="9:9">
      <c r="I141" s="65"/>
    </row>
    <row r="143" spans="9:9">
      <c r="I143" s="65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/>
  <cols>
    <col min="1" max="1" width="27.5703125" customWidth="1"/>
    <col min="2" max="145" width="3" customWidth="1"/>
  </cols>
  <sheetData>
    <row r="1" spans="1:82">
      <c r="A1" s="1" t="str">
        <f>CONCATENATE("Aggregation 22 industry groups to 6 ",name!$C$2)</f>
        <v>Aggregation 22 industry groups to 6 Industry sectors</v>
      </c>
    </row>
    <row r="2" spans="1:82" ht="164.25" customHeight="1" thickBot="1">
      <c r="B2" s="107" t="str">
        <f t="array" ref="B2:W2">TRANSPOSE(name!B4:B25)</f>
        <v>Agriculture</v>
      </c>
      <c r="C2" s="107" t="str">
        <v>Mining and quarrying</v>
      </c>
      <c r="D2" s="107" t="str">
        <v>Food drink and tobacco</v>
      </c>
      <c r="E2" s="107" t="str">
        <v>Engineering</v>
      </c>
      <c r="F2" s="107" t="str">
        <v>Rest of manufacturing</v>
      </c>
      <c r="G2" s="107" t="str">
        <v>Electricity and gas</v>
      </c>
      <c r="H2" s="107" t="str">
        <v>Water and sewerage</v>
      </c>
      <c r="I2" s="107" t="str">
        <v>Construction</v>
      </c>
      <c r="J2" s="107" t="str">
        <v>Wholesale and retail trade</v>
      </c>
      <c r="K2" s="107" t="str">
        <v>Transport and storage</v>
      </c>
      <c r="L2" s="107" t="str">
        <v>Accommodation and food</v>
      </c>
      <c r="M2" s="107" t="str">
        <v>Media</v>
      </c>
      <c r="N2" s="107" t="str">
        <v>Information technology</v>
      </c>
      <c r="O2" s="107" t="str">
        <v>Finance and insurance</v>
      </c>
      <c r="P2" s="107" t="str">
        <v>Real estate</v>
      </c>
      <c r="Q2" s="107" t="str">
        <v>Professional services</v>
      </c>
      <c r="R2" s="107" t="str">
        <v>Support services</v>
      </c>
      <c r="S2" s="107" t="str">
        <v>Public admin. and defence</v>
      </c>
      <c r="T2" s="107" t="str">
        <v>Education</v>
      </c>
      <c r="U2" s="107" t="str">
        <v>Health and social work</v>
      </c>
      <c r="V2" s="107" t="str">
        <v>Arts and entertainment</v>
      </c>
      <c r="W2" s="107" t="str">
        <v>Other services</v>
      </c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  <c r="BT2" s="107"/>
      <c r="BU2" s="107"/>
      <c r="BV2" s="107"/>
      <c r="BW2" s="107"/>
      <c r="BX2" s="107"/>
      <c r="BY2" s="107"/>
      <c r="BZ2" s="107"/>
      <c r="CA2" s="107"/>
      <c r="CB2" s="107"/>
      <c r="CC2" s="107"/>
      <c r="CD2" s="107"/>
    </row>
    <row r="3" spans="1:8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>
      <c r="A11" s="1" t="str">
        <f>CONCATENATE("Aggregation 26 occupations to 9 ",name!$E$2)</f>
        <v>Aggregation 26 occupations to 9 Major group names:</v>
      </c>
    </row>
    <row r="12" spans="1:82" ht="120" customHeight="1" thickBot="1">
      <c r="B12" s="329" t="s">
        <v>272</v>
      </c>
      <c r="C12" s="329" t="s">
        <v>280</v>
      </c>
      <c r="D12" s="329" t="s">
        <v>288</v>
      </c>
      <c r="E12" s="329" t="s">
        <v>296</v>
      </c>
      <c r="F12" s="329" t="s">
        <v>303</v>
      </c>
      <c r="G12" s="329" t="s">
        <v>310</v>
      </c>
      <c r="H12" s="329" t="s">
        <v>316</v>
      </c>
      <c r="I12" s="329" t="s">
        <v>319</v>
      </c>
      <c r="J12" s="329" t="s">
        <v>323</v>
      </c>
      <c r="K12" s="329" t="s">
        <v>327</v>
      </c>
      <c r="L12" s="329" t="s">
        <v>330</v>
      </c>
      <c r="M12" s="329" t="s">
        <v>333</v>
      </c>
      <c r="N12" s="329" t="s">
        <v>336</v>
      </c>
      <c r="O12" s="329" t="s">
        <v>339</v>
      </c>
      <c r="P12" s="329" t="s">
        <v>342</v>
      </c>
      <c r="Q12" s="329" t="s">
        <v>345</v>
      </c>
      <c r="R12" s="329" t="s">
        <v>348</v>
      </c>
      <c r="S12" s="329" t="s">
        <v>351</v>
      </c>
      <c r="T12" s="329" t="s">
        <v>354</v>
      </c>
      <c r="U12" s="329" t="s">
        <v>357</v>
      </c>
      <c r="V12" s="329" t="s">
        <v>360</v>
      </c>
      <c r="W12" s="329" t="s">
        <v>363</v>
      </c>
      <c r="X12" s="329" t="s">
        <v>365</v>
      </c>
      <c r="Y12" s="329" t="s">
        <v>367</v>
      </c>
      <c r="Z12" s="329" t="s">
        <v>369</v>
      </c>
      <c r="AA12" s="107" t="s">
        <v>371</v>
      </c>
      <c r="AB12" s="12"/>
    </row>
    <row r="13" spans="1:82">
      <c r="A13" t="s">
        <v>273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>
      <c r="A14" t="s">
        <v>281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>
      <c r="A15" t="s">
        <v>289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>
      <c r="A16" t="s">
        <v>297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>
      <c r="A17" t="s">
        <v>304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>
      <c r="A18" t="s">
        <v>311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>
      <c r="A19" t="s">
        <v>317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>
      <c r="A20" t="s">
        <v>320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>
      <c r="A21" t="s">
        <v>324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>
      <c r="A24" s="1" t="str">
        <f>CONCATENATE("Aggregation 9 qualifications to 6 ",name!$G$2)</f>
        <v>Aggregation 9 qualifications to 6 Qualification groups</v>
      </c>
    </row>
    <row r="25" spans="1:28" ht="197.25" customHeight="1" thickBot="1">
      <c r="B25" s="107" t="str">
        <f t="array" ref="B25:J25">TRANSPOSE(name!F4:F13)</f>
        <v>RQF8 Doctorate</v>
      </c>
      <c r="C25" s="107" t="str">
        <v>RQF7 Other higher degree</v>
      </c>
      <c r="D25" s="107" t="str">
        <v>RQF6 First degree</v>
      </c>
      <c r="E25" s="107" t="str">
        <v>RQF5 Foundation degree;Nursing;Teaching</v>
      </c>
      <c r="F25" s="107" t="str">
        <v>RQF4 HE below degree level</v>
      </c>
      <c r="G25" s="107" t="str">
        <v>RQF3 A level &amp; equivalent</v>
      </c>
      <c r="H25" s="107" t="str">
        <v>RQF2 GCSE(A-C) &amp; equivalent</v>
      </c>
      <c r="I25" s="107" t="str">
        <v>RQF1 GCSE(below grade C) &amp; equivalent</v>
      </c>
      <c r="J25" s="107" t="str">
        <v>No Qualification</v>
      </c>
    </row>
    <row r="26" spans="1:28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>
      <c r="A33" s="10"/>
    </row>
    <row r="34" spans="1:1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>
      <c r="A1" s="15" t="s">
        <v>418</v>
      </c>
      <c r="B1" s="71"/>
      <c r="C1" s="71"/>
      <c r="D1" s="71"/>
    </row>
    <row r="3" spans="1:4">
      <c r="A3" s="108"/>
      <c r="B3" s="108" t="s">
        <v>419</v>
      </c>
      <c r="C3" s="108"/>
      <c r="D3" s="108" t="s">
        <v>420</v>
      </c>
    </row>
    <row r="4" spans="1:4">
      <c r="A4" s="108"/>
      <c r="B4" s="108"/>
      <c r="C4" s="108"/>
      <c r="D4" s="108"/>
    </row>
    <row r="5" spans="1:4">
      <c r="A5" s="108">
        <v>1</v>
      </c>
      <c r="B5" s="108" t="s">
        <v>421</v>
      </c>
      <c r="C5" s="108">
        <v>1</v>
      </c>
      <c r="D5" s="108" t="s">
        <v>422</v>
      </c>
    </row>
    <row r="6" spans="1:4">
      <c r="A6" s="108"/>
      <c r="B6" s="108"/>
      <c r="C6" s="108"/>
      <c r="D6" s="108"/>
    </row>
    <row r="7" spans="1:4">
      <c r="A7" s="108">
        <v>2</v>
      </c>
      <c r="B7" s="108" t="s">
        <v>423</v>
      </c>
      <c r="C7" s="108">
        <v>2</v>
      </c>
      <c r="D7" s="108" t="s">
        <v>424</v>
      </c>
    </row>
    <row r="8" spans="1:4">
      <c r="A8" s="108"/>
      <c r="B8" s="108"/>
      <c r="C8" s="108"/>
      <c r="D8" s="108"/>
    </row>
    <row r="9" spans="1:4">
      <c r="A9" s="108">
        <v>3</v>
      </c>
      <c r="B9" s="108" t="s">
        <v>425</v>
      </c>
      <c r="C9" s="108">
        <v>3</v>
      </c>
      <c r="D9" s="108" t="s">
        <v>426</v>
      </c>
    </row>
    <row r="10" spans="1:4">
      <c r="A10" s="108"/>
      <c r="B10" s="108"/>
      <c r="C10" s="108">
        <v>4</v>
      </c>
      <c r="D10" s="108" t="s">
        <v>427</v>
      </c>
    </row>
    <row r="11" spans="1:4">
      <c r="A11" s="108"/>
      <c r="B11" s="108"/>
      <c r="C11" s="108"/>
      <c r="D11" s="108"/>
    </row>
    <row r="12" spans="1:4">
      <c r="A12" s="108">
        <v>4</v>
      </c>
      <c r="B12" s="108" t="s">
        <v>428</v>
      </c>
      <c r="C12" s="108">
        <v>16</v>
      </c>
      <c r="D12" s="108" t="s">
        <v>429</v>
      </c>
    </row>
    <row r="13" spans="1:4">
      <c r="A13" s="108"/>
      <c r="B13" s="108"/>
      <c r="C13" s="108">
        <v>17</v>
      </c>
      <c r="D13" s="108" t="s">
        <v>430</v>
      </c>
    </row>
    <row r="14" spans="1:4">
      <c r="A14" s="108"/>
      <c r="B14" s="108"/>
      <c r="C14" s="108">
        <v>18</v>
      </c>
      <c r="D14" s="108" t="s">
        <v>431</v>
      </c>
    </row>
    <row r="15" spans="1:4">
      <c r="A15" s="108"/>
      <c r="B15" s="108"/>
      <c r="C15" s="108"/>
      <c r="D15" s="108"/>
    </row>
    <row r="16" spans="1:4">
      <c r="A16" s="108">
        <v>5</v>
      </c>
      <c r="B16" s="108" t="s">
        <v>432</v>
      </c>
      <c r="C16" s="108">
        <v>5</v>
      </c>
      <c r="D16" s="108" t="s">
        <v>433</v>
      </c>
    </row>
    <row r="17" spans="1:4">
      <c r="A17" s="108"/>
      <c r="B17" s="108"/>
      <c r="C17" s="108">
        <v>6</v>
      </c>
      <c r="D17" s="108" t="s">
        <v>434</v>
      </c>
    </row>
    <row r="18" spans="1:4">
      <c r="A18" s="108"/>
      <c r="B18" s="108"/>
      <c r="C18" s="108">
        <v>7</v>
      </c>
      <c r="D18" s="108" t="s">
        <v>435</v>
      </c>
    </row>
    <row r="19" spans="1:4">
      <c r="A19" s="108"/>
      <c r="B19" s="108"/>
      <c r="C19" s="108">
        <v>8</v>
      </c>
      <c r="D19" s="108" t="s">
        <v>436</v>
      </c>
    </row>
    <row r="20" spans="1:4">
      <c r="A20" s="108"/>
      <c r="B20" s="108"/>
      <c r="C20" s="108">
        <v>9</v>
      </c>
      <c r="D20" s="108" t="s">
        <v>437</v>
      </c>
    </row>
    <row r="21" spans="1:4">
      <c r="A21" s="108"/>
      <c r="B21" s="108"/>
      <c r="C21" s="108">
        <v>10</v>
      </c>
      <c r="D21" s="108" t="s">
        <v>438</v>
      </c>
    </row>
    <row r="22" spans="1:4">
      <c r="A22" s="108"/>
      <c r="B22" s="108"/>
      <c r="C22" s="108">
        <v>11</v>
      </c>
      <c r="D22" s="108" t="s">
        <v>439</v>
      </c>
    </row>
    <row r="23" spans="1:4">
      <c r="A23" s="108"/>
      <c r="B23" s="108"/>
      <c r="C23" s="108">
        <v>12</v>
      </c>
      <c r="D23" s="108" t="s">
        <v>440</v>
      </c>
    </row>
    <row r="24" spans="1:4">
      <c r="A24" s="108"/>
      <c r="B24" s="108"/>
      <c r="C24" s="108">
        <v>13</v>
      </c>
      <c r="D24" s="108" t="s">
        <v>441</v>
      </c>
    </row>
    <row r="25" spans="1:4">
      <c r="A25" s="108"/>
      <c r="B25" s="108"/>
      <c r="C25" s="108">
        <v>14</v>
      </c>
      <c r="D25" s="108" t="s">
        <v>442</v>
      </c>
    </row>
    <row r="26" spans="1:4">
      <c r="A26" s="108"/>
      <c r="B26" s="108"/>
      <c r="C26" s="108">
        <v>15</v>
      </c>
      <c r="D26" s="108" t="s">
        <v>443</v>
      </c>
    </row>
    <row r="27" spans="1:4">
      <c r="A27" s="108"/>
      <c r="B27" s="108"/>
      <c r="C27" s="108">
        <v>19</v>
      </c>
      <c r="D27" s="108" t="s">
        <v>444</v>
      </c>
    </row>
    <row r="28" spans="1:4">
      <c r="A28" s="108"/>
      <c r="B28" s="108"/>
      <c r="C28" s="108">
        <v>20</v>
      </c>
      <c r="D28" s="108" t="s">
        <v>445</v>
      </c>
    </row>
    <row r="29" spans="1:4">
      <c r="A29" s="108"/>
      <c r="B29" s="108"/>
      <c r="C29" s="108">
        <v>21</v>
      </c>
      <c r="D29" s="108" t="s">
        <v>446</v>
      </c>
    </row>
    <row r="30" spans="1:4">
      <c r="A30" s="108"/>
      <c r="B30" s="108"/>
      <c r="C30" s="108">
        <v>22</v>
      </c>
      <c r="D30" s="108" t="s">
        <v>447</v>
      </c>
    </row>
    <row r="31" spans="1:4">
      <c r="A31" s="108"/>
      <c r="B31" s="108"/>
      <c r="C31" s="108">
        <v>23</v>
      </c>
      <c r="D31" s="108" t="s">
        <v>448</v>
      </c>
    </row>
    <row r="32" spans="1:4">
      <c r="A32" s="108"/>
      <c r="B32" s="108"/>
      <c r="C32" s="108"/>
      <c r="D32" s="108"/>
    </row>
    <row r="33" spans="1:4">
      <c r="A33" s="108">
        <v>6</v>
      </c>
      <c r="B33" s="108" t="s">
        <v>449</v>
      </c>
      <c r="C33" s="108">
        <v>24</v>
      </c>
      <c r="D33" s="108" t="s">
        <v>450</v>
      </c>
    </row>
    <row r="34" spans="1:4">
      <c r="A34" s="108"/>
      <c r="B34" s="108"/>
      <c r="C34" s="108"/>
      <c r="D34" s="108"/>
    </row>
    <row r="35" spans="1:4">
      <c r="A35" s="108">
        <v>7</v>
      </c>
      <c r="B35" s="108" t="s">
        <v>451</v>
      </c>
      <c r="C35" s="108">
        <v>25</v>
      </c>
      <c r="D35" s="108" t="s">
        <v>452</v>
      </c>
    </row>
    <row r="36" spans="1:4">
      <c r="A36" s="108"/>
      <c r="B36" s="108"/>
      <c r="C36" s="108">
        <v>26</v>
      </c>
      <c r="D36" s="108" t="s">
        <v>453</v>
      </c>
    </row>
    <row r="37" spans="1:4">
      <c r="A37" s="108"/>
      <c r="B37" s="108"/>
      <c r="C37" s="108">
        <v>27</v>
      </c>
      <c r="D37" s="108" t="s">
        <v>454</v>
      </c>
    </row>
    <row r="38" spans="1:4">
      <c r="A38" s="108"/>
      <c r="B38" s="108"/>
      <c r="C38" s="108"/>
      <c r="D38" s="108"/>
    </row>
    <row r="39" spans="1:4">
      <c r="A39" s="108">
        <v>8</v>
      </c>
      <c r="B39" s="108" t="s">
        <v>455</v>
      </c>
      <c r="C39" s="108">
        <v>28</v>
      </c>
      <c r="D39" s="108" t="s">
        <v>456</v>
      </c>
    </row>
    <row r="40" spans="1:4">
      <c r="A40" s="108"/>
      <c r="B40" s="108"/>
      <c r="C40" s="108">
        <v>29</v>
      </c>
      <c r="D40" s="108" t="s">
        <v>457</v>
      </c>
    </row>
    <row r="41" spans="1:4">
      <c r="A41" s="108"/>
      <c r="B41" s="108"/>
      <c r="C41" s="108">
        <v>30</v>
      </c>
      <c r="D41" s="108" t="s">
        <v>458</v>
      </c>
    </row>
    <row r="42" spans="1:4">
      <c r="A42" s="108"/>
      <c r="B42" s="108"/>
      <c r="C42" s="108"/>
      <c r="D42" s="108"/>
    </row>
    <row r="43" spans="1:4">
      <c r="A43" s="108">
        <v>9</v>
      </c>
      <c r="B43" s="108" t="s">
        <v>459</v>
      </c>
      <c r="C43" s="108">
        <v>31</v>
      </c>
      <c r="D43" s="108" t="s">
        <v>460</v>
      </c>
    </row>
    <row r="44" spans="1:4">
      <c r="A44" s="108"/>
      <c r="B44" s="108"/>
      <c r="C44" s="108">
        <v>32</v>
      </c>
      <c r="D44" s="108" t="s">
        <v>461</v>
      </c>
    </row>
    <row r="45" spans="1:4">
      <c r="A45" s="108"/>
      <c r="B45" s="108"/>
      <c r="C45" s="108">
        <v>33</v>
      </c>
      <c r="D45" s="108" t="s">
        <v>462</v>
      </c>
    </row>
    <row r="46" spans="1:4">
      <c r="A46" s="108"/>
      <c r="B46" s="108"/>
      <c r="C46" s="108"/>
      <c r="D46" s="108"/>
    </row>
    <row r="47" spans="1:4">
      <c r="A47" s="108">
        <v>10</v>
      </c>
      <c r="B47" s="108" t="s">
        <v>463</v>
      </c>
      <c r="C47" s="108">
        <v>34</v>
      </c>
      <c r="D47" s="108" t="s">
        <v>464</v>
      </c>
    </row>
    <row r="48" spans="1:4">
      <c r="A48" s="108"/>
      <c r="B48" s="108"/>
      <c r="C48" s="108">
        <v>35</v>
      </c>
      <c r="D48" s="108" t="s">
        <v>465</v>
      </c>
    </row>
    <row r="49" spans="1:4">
      <c r="A49" s="108"/>
      <c r="B49" s="108"/>
      <c r="C49" s="108">
        <v>36</v>
      </c>
      <c r="D49" s="108" t="s">
        <v>466</v>
      </c>
    </row>
    <row r="50" spans="1:4">
      <c r="A50" s="108"/>
      <c r="B50" s="108"/>
      <c r="C50" s="108">
        <v>37</v>
      </c>
      <c r="D50" s="108" t="s">
        <v>467</v>
      </c>
    </row>
    <row r="51" spans="1:4">
      <c r="A51" s="108"/>
      <c r="B51" s="108"/>
      <c r="C51" s="108">
        <v>38</v>
      </c>
      <c r="D51" s="108" t="s">
        <v>468</v>
      </c>
    </row>
    <row r="52" spans="1:4">
      <c r="A52" s="108"/>
      <c r="B52" s="108"/>
      <c r="C52" s="108"/>
      <c r="D52" s="108"/>
    </row>
    <row r="53" spans="1:4">
      <c r="A53" s="108">
        <v>11</v>
      </c>
      <c r="B53" s="108" t="s">
        <v>469</v>
      </c>
      <c r="C53" s="108">
        <v>39</v>
      </c>
      <c r="D53" s="108" t="s">
        <v>470</v>
      </c>
    </row>
    <row r="54" spans="1:4">
      <c r="A54" s="108"/>
      <c r="B54" s="108"/>
      <c r="C54" s="108">
        <v>40</v>
      </c>
      <c r="D54" s="108" t="s">
        <v>471</v>
      </c>
    </row>
    <row r="55" spans="1:4">
      <c r="A55" s="108"/>
      <c r="B55" s="108"/>
      <c r="C55" s="108"/>
      <c r="D55" s="108"/>
    </row>
    <row r="56" spans="1:4">
      <c r="A56" s="108">
        <v>12</v>
      </c>
      <c r="B56" s="108" t="s">
        <v>472</v>
      </c>
      <c r="C56" s="108">
        <v>41</v>
      </c>
      <c r="D56" s="108" t="s">
        <v>473</v>
      </c>
    </row>
    <row r="57" spans="1:4">
      <c r="A57" s="108"/>
      <c r="B57" s="108"/>
      <c r="C57" s="108">
        <v>42</v>
      </c>
      <c r="D57" s="108" t="s">
        <v>474</v>
      </c>
    </row>
    <row r="58" spans="1:4">
      <c r="A58" s="108"/>
      <c r="B58" s="108"/>
      <c r="C58" s="108">
        <v>43</v>
      </c>
      <c r="D58" s="108" t="s">
        <v>475</v>
      </c>
    </row>
    <row r="59" spans="1:4">
      <c r="A59" s="108"/>
      <c r="B59" s="108"/>
      <c r="C59" s="108"/>
      <c r="D59" s="108"/>
    </row>
    <row r="60" spans="1:4">
      <c r="A60" s="108">
        <v>13</v>
      </c>
      <c r="B60" s="108" t="s">
        <v>476</v>
      </c>
      <c r="C60" s="108">
        <v>44</v>
      </c>
      <c r="D60" s="108" t="s">
        <v>477</v>
      </c>
    </row>
    <row r="61" spans="1:4">
      <c r="A61" s="108"/>
      <c r="B61" s="108"/>
      <c r="C61" s="108">
        <v>45</v>
      </c>
      <c r="D61" s="108" t="s">
        <v>478</v>
      </c>
    </row>
    <row r="62" spans="1:4">
      <c r="A62" s="108"/>
      <c r="B62" s="108"/>
      <c r="C62" s="108">
        <v>46</v>
      </c>
      <c r="D62" s="108" t="s">
        <v>479</v>
      </c>
    </row>
    <row r="63" spans="1:4">
      <c r="A63" s="108"/>
      <c r="B63" s="108"/>
      <c r="C63" s="108"/>
      <c r="D63" s="108"/>
    </row>
    <row r="64" spans="1:4">
      <c r="A64" s="108">
        <v>14</v>
      </c>
      <c r="B64" s="108" t="s">
        <v>480</v>
      </c>
      <c r="C64" s="108">
        <v>47</v>
      </c>
      <c r="D64" s="108" t="s">
        <v>481</v>
      </c>
    </row>
    <row r="65" spans="1:4">
      <c r="A65" s="108"/>
      <c r="B65" s="108"/>
      <c r="C65" s="108">
        <v>48</v>
      </c>
      <c r="D65" s="108" t="s">
        <v>482</v>
      </c>
    </row>
    <row r="66" spans="1:4">
      <c r="A66" s="108"/>
      <c r="B66" s="108"/>
      <c r="C66" s="108">
        <v>49</v>
      </c>
      <c r="D66" s="108" t="s">
        <v>483</v>
      </c>
    </row>
    <row r="67" spans="1:4">
      <c r="A67" s="108"/>
      <c r="B67" s="108"/>
      <c r="C67" s="108"/>
      <c r="D67" s="108"/>
    </row>
    <row r="68" spans="1:4">
      <c r="A68" s="108">
        <v>15</v>
      </c>
      <c r="B68" s="108" t="s">
        <v>484</v>
      </c>
      <c r="C68" s="108">
        <v>50</v>
      </c>
      <c r="D68" s="108" t="s">
        <v>484</v>
      </c>
    </row>
    <row r="69" spans="1:4">
      <c r="A69" s="108"/>
      <c r="B69" s="108"/>
      <c r="C69" s="108"/>
      <c r="D69" s="108"/>
    </row>
    <row r="70" spans="1:4">
      <c r="A70" s="108">
        <v>16</v>
      </c>
      <c r="B70" s="108" t="s">
        <v>485</v>
      </c>
      <c r="C70" s="108">
        <v>51</v>
      </c>
      <c r="D70" s="108" t="s">
        <v>486</v>
      </c>
    </row>
    <row r="71" spans="1:4">
      <c r="A71" s="108"/>
      <c r="B71" s="108"/>
      <c r="C71" s="108">
        <v>52</v>
      </c>
      <c r="D71" s="108" t="s">
        <v>487</v>
      </c>
    </row>
    <row r="72" spans="1:4">
      <c r="A72" s="108"/>
      <c r="B72" s="108"/>
      <c r="C72" s="108">
        <v>53</v>
      </c>
      <c r="D72" s="108" t="s">
        <v>488</v>
      </c>
    </row>
    <row r="73" spans="1:4">
      <c r="A73" s="108"/>
      <c r="B73" s="108"/>
      <c r="C73" s="108">
        <v>54</v>
      </c>
      <c r="D73" s="108" t="s">
        <v>489</v>
      </c>
    </row>
    <row r="74" spans="1:4">
      <c r="A74" s="108"/>
      <c r="B74" s="108"/>
      <c r="C74" s="108">
        <v>55</v>
      </c>
      <c r="D74" s="108" t="s">
        <v>490</v>
      </c>
    </row>
    <row r="75" spans="1:4">
      <c r="A75" s="108"/>
      <c r="B75" s="108"/>
      <c r="C75" s="108">
        <v>56</v>
      </c>
      <c r="D75" s="108" t="s">
        <v>491</v>
      </c>
    </row>
    <row r="76" spans="1:4">
      <c r="A76" s="108"/>
      <c r="B76" s="108"/>
      <c r="C76" s="108">
        <v>57</v>
      </c>
      <c r="D76" s="108" t="s">
        <v>492</v>
      </c>
    </row>
    <row r="77" spans="1:4">
      <c r="A77" s="108"/>
      <c r="B77" s="108"/>
      <c r="C77" s="108"/>
      <c r="D77" s="108"/>
    </row>
    <row r="78" spans="1:4">
      <c r="A78" s="108">
        <v>17</v>
      </c>
      <c r="B78" s="108" t="s">
        <v>493</v>
      </c>
      <c r="C78" s="108">
        <v>58</v>
      </c>
      <c r="D78" s="108" t="s">
        <v>494</v>
      </c>
    </row>
    <row r="79" spans="1:4">
      <c r="A79" s="108"/>
      <c r="B79" s="108"/>
      <c r="C79" s="108">
        <v>59</v>
      </c>
      <c r="D79" s="108" t="s">
        <v>495</v>
      </c>
    </row>
    <row r="80" spans="1:4">
      <c r="A80" s="108"/>
      <c r="B80" s="108"/>
      <c r="C80" s="108">
        <v>60</v>
      </c>
      <c r="D80" s="108" t="s">
        <v>496</v>
      </c>
    </row>
    <row r="81" spans="1:4">
      <c r="A81" s="108"/>
      <c r="B81" s="108"/>
      <c r="C81" s="108">
        <v>61</v>
      </c>
      <c r="D81" s="108" t="s">
        <v>497</v>
      </c>
    </row>
    <row r="82" spans="1:4">
      <c r="A82" s="108"/>
      <c r="B82" s="108"/>
      <c r="C82" s="108">
        <v>62</v>
      </c>
      <c r="D82" s="108" t="s">
        <v>498</v>
      </c>
    </row>
    <row r="83" spans="1:4">
      <c r="A83" s="108"/>
      <c r="B83" s="108"/>
      <c r="C83" s="108">
        <v>63</v>
      </c>
      <c r="D83" s="108" t="s">
        <v>499</v>
      </c>
    </row>
    <row r="84" spans="1:4">
      <c r="A84" s="108"/>
      <c r="B84" s="108"/>
      <c r="C84" s="108"/>
      <c r="D84" s="108"/>
    </row>
    <row r="85" spans="1:4">
      <c r="A85" s="108">
        <v>18</v>
      </c>
      <c r="B85" s="108" t="s">
        <v>500</v>
      </c>
      <c r="C85" s="108">
        <v>64</v>
      </c>
      <c r="D85" s="108" t="s">
        <v>501</v>
      </c>
    </row>
    <row r="86" spans="1:4">
      <c r="A86" s="108"/>
      <c r="B86" s="108"/>
      <c r="C86" s="108"/>
      <c r="D86" s="108"/>
    </row>
    <row r="87" spans="1:4">
      <c r="A87" s="108">
        <v>19</v>
      </c>
      <c r="B87" s="108" t="s">
        <v>502</v>
      </c>
      <c r="C87" s="108">
        <v>65</v>
      </c>
      <c r="D87" s="108" t="s">
        <v>502</v>
      </c>
    </row>
    <row r="88" spans="1:4">
      <c r="A88" s="108"/>
      <c r="B88" s="108"/>
      <c r="C88" s="108"/>
      <c r="D88" s="108"/>
    </row>
    <row r="89" spans="1:4">
      <c r="A89" s="108">
        <v>20</v>
      </c>
      <c r="B89" s="108" t="s">
        <v>503</v>
      </c>
      <c r="C89" s="108">
        <v>66</v>
      </c>
      <c r="D89" s="108" t="s">
        <v>504</v>
      </c>
    </row>
    <row r="90" spans="1:4">
      <c r="A90" s="108"/>
      <c r="B90" s="108"/>
      <c r="C90" s="108">
        <v>67</v>
      </c>
      <c r="D90" s="108" t="s">
        <v>505</v>
      </c>
    </row>
    <row r="91" spans="1:4">
      <c r="A91" s="108"/>
      <c r="B91" s="108"/>
      <c r="C91" s="108">
        <v>68</v>
      </c>
      <c r="D91" s="108" t="s">
        <v>506</v>
      </c>
    </row>
    <row r="92" spans="1:4">
      <c r="A92" s="108"/>
      <c r="B92" s="108"/>
      <c r="C92" s="108"/>
      <c r="D92" s="108"/>
    </row>
    <row r="93" spans="1:4">
      <c r="A93" s="108">
        <v>21</v>
      </c>
      <c r="B93" s="108" t="s">
        <v>507</v>
      </c>
      <c r="C93" s="108">
        <v>69</v>
      </c>
      <c r="D93" s="108" t="s">
        <v>508</v>
      </c>
    </row>
    <row r="94" spans="1:4">
      <c r="A94" s="108"/>
      <c r="B94" s="108"/>
      <c r="C94" s="108">
        <v>70</v>
      </c>
      <c r="D94" s="108" t="s">
        <v>509</v>
      </c>
    </row>
    <row r="95" spans="1:4">
      <c r="A95" s="108"/>
      <c r="B95" s="108"/>
      <c r="C95" s="108">
        <v>71</v>
      </c>
      <c r="D95" s="108" t="s">
        <v>510</v>
      </c>
    </row>
    <row r="96" spans="1:4">
      <c r="A96" s="108"/>
      <c r="B96" s="108"/>
      <c r="C96" s="108">
        <v>72</v>
      </c>
      <c r="D96" s="108" t="s">
        <v>511</v>
      </c>
    </row>
    <row r="97" spans="1:4">
      <c r="A97" s="108"/>
      <c r="B97" s="108"/>
      <c r="C97" s="108"/>
      <c r="D97" s="108"/>
    </row>
    <row r="98" spans="1:4">
      <c r="A98" s="108">
        <v>22</v>
      </c>
      <c r="B98" s="108" t="s">
        <v>512</v>
      </c>
      <c r="C98" s="108">
        <v>73</v>
      </c>
      <c r="D98" s="108" t="s">
        <v>513</v>
      </c>
    </row>
    <row r="99" spans="1:4">
      <c r="A99" s="108"/>
      <c r="B99" s="108"/>
      <c r="C99" s="108">
        <v>74</v>
      </c>
      <c r="D99" s="108" t="s">
        <v>514</v>
      </c>
    </row>
    <row r="100" spans="1:4">
      <c r="A100" s="108"/>
      <c r="B100" s="108"/>
      <c r="C100" s="108">
        <v>75</v>
      </c>
      <c r="D100" s="108" t="s">
        <v>515</v>
      </c>
    </row>
    <row r="101" spans="1:4">
      <c r="A101"/>
      <c r="B101"/>
      <c r="C101" s="71"/>
      <c r="D101"/>
    </row>
    <row r="102" spans="1:4">
      <c r="A102" s="17" t="s">
        <v>516</v>
      </c>
      <c r="B102" s="71"/>
      <c r="C102" s="71"/>
      <c r="D102"/>
    </row>
    <row r="103" spans="1:4">
      <c r="A103" s="71"/>
      <c r="B103" s="71"/>
      <c r="C103" s="71"/>
      <c r="D103"/>
    </row>
    <row r="104" spans="1:4">
      <c r="A104" s="10"/>
      <c r="B104" s="108" t="s">
        <v>517</v>
      </c>
      <c r="C104" s="10"/>
      <c r="D104" s="108" t="s">
        <v>420</v>
      </c>
    </row>
    <row r="105" spans="1:4">
      <c r="A105" s="10"/>
      <c r="B105" s="10"/>
      <c r="C105" s="10"/>
      <c r="D105" s="10"/>
    </row>
    <row r="106" spans="1:4">
      <c r="A106" s="10">
        <v>1</v>
      </c>
      <c r="B106" s="10" t="s">
        <v>518</v>
      </c>
      <c r="C106" s="10">
        <v>1</v>
      </c>
      <c r="D106" s="10" t="s">
        <v>422</v>
      </c>
    </row>
    <row r="107" spans="1:4">
      <c r="A107" s="10"/>
      <c r="B107" s="10"/>
      <c r="C107" s="10">
        <v>2</v>
      </c>
      <c r="D107" s="10" t="s">
        <v>424</v>
      </c>
    </row>
    <row r="108" spans="1:4">
      <c r="A108" s="10"/>
      <c r="B108" s="10"/>
      <c r="C108" s="10">
        <v>24</v>
      </c>
      <c r="D108" s="10" t="s">
        <v>450</v>
      </c>
    </row>
    <row r="109" spans="1:4">
      <c r="A109" s="10"/>
      <c r="B109" s="10"/>
      <c r="C109" s="10">
        <v>25</v>
      </c>
      <c r="D109" s="10" t="s">
        <v>452</v>
      </c>
    </row>
    <row r="110" spans="1:4">
      <c r="A110" s="10"/>
      <c r="B110" s="10"/>
      <c r="C110" s="10">
        <v>26</v>
      </c>
      <c r="D110" s="10" t="s">
        <v>453</v>
      </c>
    </row>
    <row r="111" spans="1:4">
      <c r="A111" s="10"/>
      <c r="B111" s="10"/>
      <c r="C111" s="10">
        <v>27</v>
      </c>
      <c r="D111" s="10" t="s">
        <v>454</v>
      </c>
    </row>
    <row r="112" spans="1:4">
      <c r="A112" s="10"/>
      <c r="B112" s="10"/>
      <c r="C112" s="10"/>
      <c r="D112" s="10"/>
    </row>
    <row r="113" spans="1:4">
      <c r="A113" s="10">
        <v>2</v>
      </c>
      <c r="B113" s="10" t="s">
        <v>519</v>
      </c>
      <c r="C113" s="10">
        <v>3</v>
      </c>
      <c r="D113" s="10" t="s">
        <v>426</v>
      </c>
    </row>
    <row r="114" spans="1:4">
      <c r="A114" s="10"/>
      <c r="B114" s="10"/>
      <c r="C114" s="10">
        <v>4</v>
      </c>
      <c r="D114" s="10" t="s">
        <v>427</v>
      </c>
    </row>
    <row r="115" spans="1:4">
      <c r="A115" s="10"/>
      <c r="B115" s="10"/>
      <c r="C115" s="10">
        <v>5</v>
      </c>
      <c r="D115" s="10" t="s">
        <v>433</v>
      </c>
    </row>
    <row r="116" spans="1:4">
      <c r="A116" s="10"/>
      <c r="B116" s="10"/>
      <c r="C116" s="10">
        <v>6</v>
      </c>
      <c r="D116" s="10" t="s">
        <v>434</v>
      </c>
    </row>
    <row r="117" spans="1:4">
      <c r="A117" s="10"/>
      <c r="B117" s="10"/>
      <c r="C117" s="10">
        <v>7</v>
      </c>
      <c r="D117" s="10" t="s">
        <v>435</v>
      </c>
    </row>
    <row r="118" spans="1:4">
      <c r="A118" s="10"/>
      <c r="B118" s="10"/>
      <c r="C118" s="10">
        <v>8</v>
      </c>
      <c r="D118" s="10" t="s">
        <v>436</v>
      </c>
    </row>
    <row r="119" spans="1:4">
      <c r="A119" s="10"/>
      <c r="B119" s="10"/>
      <c r="C119" s="10">
        <v>9</v>
      </c>
      <c r="D119" s="10" t="s">
        <v>437</v>
      </c>
    </row>
    <row r="120" spans="1:4">
      <c r="A120" s="10"/>
      <c r="B120" s="10"/>
      <c r="C120" s="10">
        <v>10</v>
      </c>
      <c r="D120" s="10" t="s">
        <v>438</v>
      </c>
    </row>
    <row r="121" spans="1:4">
      <c r="A121" s="10"/>
      <c r="B121" s="10"/>
      <c r="C121" s="10">
        <v>11</v>
      </c>
      <c r="D121" s="10" t="s">
        <v>439</v>
      </c>
    </row>
    <row r="122" spans="1:4">
      <c r="A122" s="10"/>
      <c r="B122" s="10"/>
      <c r="C122" s="10">
        <v>12</v>
      </c>
      <c r="D122" s="10" t="s">
        <v>440</v>
      </c>
    </row>
    <row r="123" spans="1:4">
      <c r="A123" s="10"/>
      <c r="B123" s="10"/>
      <c r="C123" s="10">
        <v>13</v>
      </c>
      <c r="D123" s="10" t="s">
        <v>441</v>
      </c>
    </row>
    <row r="124" spans="1:4">
      <c r="A124" s="10"/>
      <c r="B124" s="10"/>
      <c r="C124" s="10">
        <v>14</v>
      </c>
      <c r="D124" s="10" t="s">
        <v>442</v>
      </c>
    </row>
    <row r="125" spans="1:4">
      <c r="A125" s="10"/>
      <c r="B125" s="10"/>
      <c r="C125" s="10">
        <v>15</v>
      </c>
      <c r="D125" s="10" t="s">
        <v>443</v>
      </c>
    </row>
    <row r="126" spans="1:4">
      <c r="A126" s="10"/>
      <c r="B126" s="10"/>
      <c r="C126" s="10">
        <v>16</v>
      </c>
      <c r="D126" s="10" t="s">
        <v>429</v>
      </c>
    </row>
    <row r="127" spans="1:4">
      <c r="A127" s="10"/>
      <c r="B127" s="10"/>
      <c r="C127" s="10">
        <v>17</v>
      </c>
      <c r="D127" s="10" t="s">
        <v>430</v>
      </c>
    </row>
    <row r="128" spans="1:4">
      <c r="A128" s="10"/>
      <c r="B128" s="10"/>
      <c r="C128" s="10">
        <v>18</v>
      </c>
      <c r="D128" s="10" t="s">
        <v>431</v>
      </c>
    </row>
    <row r="129" spans="1:4">
      <c r="A129" s="10"/>
      <c r="B129" s="10"/>
      <c r="C129" s="10">
        <v>19</v>
      </c>
      <c r="D129" s="10" t="s">
        <v>444</v>
      </c>
    </row>
    <row r="130" spans="1:4">
      <c r="A130" s="10"/>
      <c r="B130" s="10"/>
      <c r="C130" s="10">
        <v>20</v>
      </c>
      <c r="D130" s="10" t="s">
        <v>445</v>
      </c>
    </row>
    <row r="131" spans="1:4">
      <c r="A131" s="10"/>
      <c r="B131" s="10"/>
      <c r="C131" s="10">
        <v>21</v>
      </c>
      <c r="D131" s="10" t="s">
        <v>446</v>
      </c>
    </row>
    <row r="132" spans="1:4">
      <c r="A132" s="10"/>
      <c r="B132" s="10"/>
      <c r="C132" s="10">
        <v>22</v>
      </c>
      <c r="D132" s="10" t="s">
        <v>447</v>
      </c>
    </row>
    <row r="133" spans="1:4">
      <c r="A133" s="10"/>
      <c r="B133" s="10"/>
      <c r="C133" s="10">
        <v>23</v>
      </c>
      <c r="D133" s="10" t="s">
        <v>448</v>
      </c>
    </row>
    <row r="134" spans="1:4">
      <c r="A134" s="10"/>
      <c r="B134" s="10"/>
      <c r="C134" s="10"/>
      <c r="D134" s="10"/>
    </row>
    <row r="135" spans="1:4">
      <c r="A135" s="10">
        <v>3</v>
      </c>
      <c r="B135" s="10" t="s">
        <v>455</v>
      </c>
      <c r="C135" s="10">
        <v>28</v>
      </c>
      <c r="D135" s="10" t="s">
        <v>456</v>
      </c>
    </row>
    <row r="136" spans="1:4">
      <c r="A136" s="10"/>
      <c r="B136" s="10"/>
      <c r="C136" s="10">
        <v>29</v>
      </c>
      <c r="D136" s="10" t="s">
        <v>457</v>
      </c>
    </row>
    <row r="137" spans="1:4">
      <c r="A137" s="10"/>
      <c r="B137" s="10"/>
      <c r="C137" s="10">
        <v>30</v>
      </c>
      <c r="D137" s="10" t="s">
        <v>458</v>
      </c>
    </row>
    <row r="138" spans="1:4">
      <c r="A138" s="10"/>
      <c r="B138" s="10"/>
      <c r="C138" s="10"/>
      <c r="D138" s="10"/>
    </row>
    <row r="139" spans="1:4">
      <c r="A139" s="10">
        <v>4</v>
      </c>
      <c r="B139" s="10" t="s">
        <v>520</v>
      </c>
      <c r="C139" s="10">
        <v>31</v>
      </c>
      <c r="D139" s="10" t="s">
        <v>460</v>
      </c>
    </row>
    <row r="140" spans="1:4">
      <c r="A140" s="10"/>
      <c r="B140" s="10"/>
      <c r="C140" s="10">
        <v>32</v>
      </c>
      <c r="D140" s="10" t="s">
        <v>461</v>
      </c>
    </row>
    <row r="141" spans="1:4">
      <c r="A141" s="10"/>
      <c r="B141" s="10"/>
      <c r="C141" s="10">
        <v>33</v>
      </c>
      <c r="D141" s="10" t="s">
        <v>462</v>
      </c>
    </row>
    <row r="142" spans="1:4">
      <c r="A142" s="10"/>
      <c r="B142" s="10"/>
      <c r="C142" s="10">
        <v>34</v>
      </c>
      <c r="D142" s="10" t="s">
        <v>464</v>
      </c>
    </row>
    <row r="143" spans="1:4">
      <c r="A143" s="10"/>
      <c r="B143" s="10"/>
      <c r="C143" s="10">
        <v>35</v>
      </c>
      <c r="D143" s="10" t="s">
        <v>465</v>
      </c>
    </row>
    <row r="144" spans="1:4">
      <c r="A144" s="10"/>
      <c r="B144" s="10"/>
      <c r="C144" s="10">
        <v>36</v>
      </c>
      <c r="D144" s="10" t="s">
        <v>466</v>
      </c>
    </row>
    <row r="145" spans="1:4">
      <c r="A145" s="10"/>
      <c r="B145" s="10"/>
      <c r="C145" s="10">
        <v>37</v>
      </c>
      <c r="D145" s="10" t="s">
        <v>467</v>
      </c>
    </row>
    <row r="146" spans="1:4">
      <c r="A146" s="10"/>
      <c r="B146" s="10"/>
      <c r="C146" s="10">
        <v>38</v>
      </c>
      <c r="D146" s="10" t="s">
        <v>468</v>
      </c>
    </row>
    <row r="147" spans="1:4">
      <c r="A147" s="10"/>
      <c r="B147" s="10"/>
      <c r="C147" s="10">
        <v>39</v>
      </c>
      <c r="D147" s="10" t="s">
        <v>470</v>
      </c>
    </row>
    <row r="148" spans="1:4">
      <c r="A148" s="10"/>
      <c r="B148" s="10"/>
      <c r="C148" s="10">
        <v>40</v>
      </c>
      <c r="D148" s="10" t="s">
        <v>471</v>
      </c>
    </row>
    <row r="149" spans="1:4">
      <c r="A149" s="10"/>
      <c r="B149" s="10"/>
      <c r="C149" s="10"/>
      <c r="D149" s="10"/>
    </row>
    <row r="150" spans="1:4">
      <c r="A150" s="10">
        <v>5</v>
      </c>
      <c r="B150" s="10" t="s">
        <v>521</v>
      </c>
      <c r="C150" s="10">
        <v>41</v>
      </c>
      <c r="D150" s="10" t="s">
        <v>473</v>
      </c>
    </row>
    <row r="151" spans="1:4">
      <c r="A151" s="10"/>
      <c r="B151" s="10"/>
      <c r="C151" s="10">
        <v>42</v>
      </c>
      <c r="D151" s="10" t="s">
        <v>474</v>
      </c>
    </row>
    <row r="152" spans="1:4">
      <c r="A152" s="10"/>
      <c r="B152" s="10"/>
      <c r="C152" s="10">
        <v>43</v>
      </c>
      <c r="D152" s="10" t="s">
        <v>475</v>
      </c>
    </row>
    <row r="153" spans="1:4">
      <c r="A153" s="10"/>
      <c r="B153" s="10"/>
      <c r="C153" s="10">
        <v>44</v>
      </c>
      <c r="D153" s="10" t="s">
        <v>477</v>
      </c>
    </row>
    <row r="154" spans="1:4">
      <c r="A154" s="10"/>
      <c r="B154" s="10"/>
      <c r="C154" s="10">
        <v>45</v>
      </c>
      <c r="D154" s="10" t="s">
        <v>478</v>
      </c>
    </row>
    <row r="155" spans="1:4">
      <c r="A155" s="10"/>
      <c r="B155" s="10"/>
      <c r="C155" s="10">
        <v>46</v>
      </c>
      <c r="D155" s="10" t="s">
        <v>479</v>
      </c>
    </row>
    <row r="156" spans="1:4">
      <c r="A156" s="10"/>
      <c r="B156" s="10"/>
      <c r="C156" s="10">
        <v>47</v>
      </c>
      <c r="D156" s="10" t="s">
        <v>481</v>
      </c>
    </row>
    <row r="157" spans="1:4">
      <c r="A157" s="10"/>
      <c r="B157" s="10"/>
      <c r="C157" s="10">
        <v>48</v>
      </c>
      <c r="D157" s="10" t="s">
        <v>482</v>
      </c>
    </row>
    <row r="158" spans="1:4">
      <c r="A158" s="10"/>
      <c r="B158" s="10"/>
      <c r="C158" s="10">
        <v>49</v>
      </c>
      <c r="D158" s="10" t="s">
        <v>483</v>
      </c>
    </row>
    <row r="159" spans="1:4">
      <c r="A159" s="10"/>
      <c r="B159" s="10"/>
      <c r="C159" s="10">
        <v>50</v>
      </c>
      <c r="D159" s="10" t="s">
        <v>484</v>
      </c>
    </row>
    <row r="160" spans="1:4">
      <c r="A160" s="10"/>
      <c r="B160" s="10"/>
      <c r="C160" s="10">
        <v>51</v>
      </c>
      <c r="D160" s="10" t="s">
        <v>486</v>
      </c>
    </row>
    <row r="161" spans="1:4">
      <c r="A161" s="10"/>
      <c r="B161" s="10"/>
      <c r="C161" s="10">
        <v>52</v>
      </c>
      <c r="D161" s="10" t="s">
        <v>487</v>
      </c>
    </row>
    <row r="162" spans="1:4">
      <c r="A162" s="10"/>
      <c r="B162" s="10"/>
      <c r="C162" s="10">
        <v>53</v>
      </c>
      <c r="D162" s="10" t="s">
        <v>488</v>
      </c>
    </row>
    <row r="163" spans="1:4">
      <c r="A163" s="10"/>
      <c r="B163" s="10"/>
      <c r="C163" s="10">
        <v>54</v>
      </c>
      <c r="D163" s="10" t="s">
        <v>489</v>
      </c>
    </row>
    <row r="164" spans="1:4">
      <c r="A164" s="10"/>
      <c r="B164" s="10"/>
      <c r="C164" s="10">
        <v>55</v>
      </c>
      <c r="D164" s="10" t="s">
        <v>490</v>
      </c>
    </row>
    <row r="165" spans="1:4">
      <c r="A165" s="10"/>
      <c r="B165" s="10"/>
      <c r="C165" s="10">
        <v>56</v>
      </c>
      <c r="D165" s="10" t="s">
        <v>491</v>
      </c>
    </row>
    <row r="166" spans="1:4">
      <c r="A166" s="10"/>
      <c r="B166" s="10"/>
      <c r="C166" s="10">
        <v>57</v>
      </c>
      <c r="D166" s="10" t="s">
        <v>492</v>
      </c>
    </row>
    <row r="167" spans="1:4">
      <c r="A167" s="10"/>
      <c r="B167" s="10"/>
      <c r="C167" s="10">
        <v>58</v>
      </c>
      <c r="D167" s="10" t="s">
        <v>494</v>
      </c>
    </row>
    <row r="168" spans="1:4">
      <c r="A168" s="10"/>
      <c r="B168" s="10"/>
      <c r="C168" s="10">
        <v>59</v>
      </c>
      <c r="D168" s="10" t="s">
        <v>495</v>
      </c>
    </row>
    <row r="169" spans="1:4">
      <c r="A169" s="10"/>
      <c r="B169" s="10"/>
      <c r="C169" s="10">
        <v>60</v>
      </c>
      <c r="D169" s="10" t="s">
        <v>496</v>
      </c>
    </row>
    <row r="170" spans="1:4">
      <c r="A170" s="10"/>
      <c r="B170" s="10"/>
      <c r="C170" s="10">
        <v>61</v>
      </c>
      <c r="D170" s="10" t="s">
        <v>497</v>
      </c>
    </row>
    <row r="171" spans="1:4">
      <c r="A171" s="10"/>
      <c r="B171" s="10"/>
      <c r="C171" s="10">
        <v>62</v>
      </c>
      <c r="D171" s="10" t="s">
        <v>498</v>
      </c>
    </row>
    <row r="172" spans="1:4">
      <c r="A172" s="10"/>
      <c r="B172" s="10"/>
      <c r="C172" s="10">
        <v>63</v>
      </c>
      <c r="D172" s="10" t="s">
        <v>499</v>
      </c>
    </row>
    <row r="173" spans="1:4">
      <c r="A173" s="10"/>
      <c r="B173" s="10"/>
      <c r="C173" s="10">
        <v>69</v>
      </c>
      <c r="D173" s="10" t="s">
        <v>508</v>
      </c>
    </row>
    <row r="174" spans="1:4">
      <c r="A174" s="10"/>
      <c r="B174" s="10"/>
      <c r="C174" s="10">
        <v>70</v>
      </c>
      <c r="D174" s="10" t="s">
        <v>509</v>
      </c>
    </row>
    <row r="175" spans="1:4">
      <c r="A175" s="10"/>
      <c r="B175" s="10"/>
      <c r="C175" s="10">
        <v>71</v>
      </c>
      <c r="D175" s="10" t="s">
        <v>510</v>
      </c>
    </row>
    <row r="176" spans="1:4">
      <c r="A176" s="10"/>
      <c r="B176" s="10"/>
      <c r="C176" s="10">
        <v>72</v>
      </c>
      <c r="D176" s="10" t="s">
        <v>511</v>
      </c>
    </row>
    <row r="177" spans="1:6">
      <c r="A177" s="10"/>
      <c r="B177" s="10"/>
      <c r="C177" s="10">
        <v>73</v>
      </c>
      <c r="D177" s="10" t="s">
        <v>513</v>
      </c>
      <c r="E177" s="71"/>
      <c r="F177" s="71"/>
    </row>
    <row r="178" spans="1:6">
      <c r="A178" s="10"/>
      <c r="B178" s="10"/>
      <c r="C178" s="10">
        <v>74</v>
      </c>
      <c r="D178" s="10" t="s">
        <v>514</v>
      </c>
      <c r="E178" s="71"/>
      <c r="F178" s="71"/>
    </row>
    <row r="179" spans="1:6">
      <c r="A179" s="10"/>
      <c r="B179" s="10"/>
      <c r="C179" s="10">
        <v>75</v>
      </c>
      <c r="D179" s="10" t="s">
        <v>515</v>
      </c>
      <c r="E179" s="71"/>
      <c r="F179" s="71"/>
    </row>
    <row r="180" spans="1:6">
      <c r="A180" s="10"/>
      <c r="B180" s="10"/>
      <c r="C180" s="10"/>
      <c r="D180" s="10"/>
      <c r="E180" s="71"/>
      <c r="F180" s="71"/>
    </row>
    <row r="181" spans="1:6">
      <c r="A181" s="10">
        <v>6</v>
      </c>
      <c r="B181" s="10" t="s">
        <v>522</v>
      </c>
      <c r="C181" s="10">
        <v>64</v>
      </c>
      <c r="D181" s="10" t="s">
        <v>501</v>
      </c>
      <c r="E181" s="71"/>
      <c r="F181" s="71"/>
    </row>
    <row r="182" spans="1:6">
      <c r="A182" s="10"/>
      <c r="B182" s="10"/>
      <c r="C182" s="10">
        <v>65</v>
      </c>
      <c r="D182" s="10" t="s">
        <v>502</v>
      </c>
      <c r="E182" s="71"/>
      <c r="F182" s="71"/>
    </row>
    <row r="183" spans="1:6">
      <c r="A183" s="10"/>
      <c r="B183" s="10"/>
      <c r="C183" s="10">
        <v>66</v>
      </c>
      <c r="D183" s="10" t="s">
        <v>504</v>
      </c>
      <c r="E183" s="71"/>
      <c r="F183" s="71"/>
    </row>
    <row r="184" spans="1:6">
      <c r="A184" s="10"/>
      <c r="B184" s="10"/>
      <c r="C184" s="10">
        <v>67</v>
      </c>
      <c r="D184" s="10" t="s">
        <v>505</v>
      </c>
      <c r="E184" s="71"/>
      <c r="F184" s="71"/>
    </row>
    <row r="185" spans="1:6">
      <c r="A185" s="10"/>
      <c r="B185" s="10"/>
      <c r="C185" s="10">
        <v>68</v>
      </c>
      <c r="D185" s="10" t="s">
        <v>506</v>
      </c>
      <c r="E185" s="71"/>
      <c r="F185" s="71"/>
    </row>
    <row r="186" spans="1:6">
      <c r="A186"/>
      <c r="B186"/>
      <c r="C186" s="71"/>
      <c r="D186"/>
      <c r="E186" s="71"/>
      <c r="F186" s="71"/>
    </row>
    <row r="187" spans="1:6">
      <c r="A187" s="17" t="s">
        <v>523</v>
      </c>
      <c r="B187"/>
      <c r="C187" s="71"/>
      <c r="D187"/>
      <c r="E187" s="71"/>
      <c r="F187" s="71"/>
    </row>
    <row r="188" spans="1:6">
      <c r="A188"/>
      <c r="B188"/>
      <c r="C188" s="71"/>
      <c r="D188" s="71"/>
      <c r="E188" s="71"/>
      <c r="F188" s="71"/>
    </row>
    <row r="189" spans="1:6">
      <c r="A189"/>
      <c r="B189" s="108" t="s">
        <v>517</v>
      </c>
      <c r="C189" s="108"/>
      <c r="D189" s="108" t="s">
        <v>419</v>
      </c>
      <c r="E189" s="71"/>
      <c r="F189" s="71"/>
    </row>
    <row r="190" spans="1:6">
      <c r="A190"/>
      <c r="B190"/>
      <c r="C190" s="108"/>
      <c r="D190" s="108"/>
      <c r="E190" s="108"/>
      <c r="F190" s="108"/>
    </row>
    <row r="191" spans="1:6">
      <c r="A191" s="10">
        <v>1</v>
      </c>
      <c r="B191" s="10" t="s">
        <v>518</v>
      </c>
      <c r="C191" s="108">
        <v>1</v>
      </c>
      <c r="D191" s="108" t="s">
        <v>421</v>
      </c>
      <c r="E191" s="71"/>
      <c r="F191" s="71"/>
    </row>
    <row r="192" spans="1:6">
      <c r="A192"/>
      <c r="B192"/>
      <c r="C192" s="108">
        <v>2</v>
      </c>
      <c r="D192" s="108" t="s">
        <v>423</v>
      </c>
      <c r="E192" s="108"/>
      <c r="F192" s="108"/>
    </row>
    <row r="193" spans="1:6">
      <c r="A193"/>
      <c r="B193"/>
      <c r="C193" s="108">
        <v>6</v>
      </c>
      <c r="D193" s="108" t="s">
        <v>449</v>
      </c>
      <c r="E193" s="71"/>
      <c r="F193" s="71"/>
    </row>
    <row r="194" spans="1:6">
      <c r="A194"/>
      <c r="B194"/>
      <c r="C194" s="108">
        <v>7</v>
      </c>
      <c r="D194" s="108" t="s">
        <v>451</v>
      </c>
      <c r="E194" s="108"/>
      <c r="F194" s="108"/>
    </row>
    <row r="195" spans="1:6">
      <c r="A195"/>
      <c r="B195"/>
      <c r="C195" s="71"/>
      <c r="D195"/>
      <c r="E195" s="108"/>
      <c r="F195" s="108"/>
    </row>
    <row r="196" spans="1:6">
      <c r="A196" s="10">
        <v>2</v>
      </c>
      <c r="B196" s="10" t="s">
        <v>519</v>
      </c>
      <c r="C196" s="108">
        <v>3</v>
      </c>
      <c r="D196" s="108" t="s">
        <v>425</v>
      </c>
      <c r="E196" s="71"/>
      <c r="F196" s="71"/>
    </row>
    <row r="197" spans="1:6">
      <c r="A197"/>
      <c r="B197"/>
      <c r="C197" s="108">
        <v>4</v>
      </c>
      <c r="D197" s="108" t="s">
        <v>428</v>
      </c>
      <c r="E197" s="108"/>
      <c r="F197" s="108"/>
    </row>
    <row r="198" spans="1:6">
      <c r="A198"/>
      <c r="B198"/>
      <c r="C198" s="108">
        <v>5</v>
      </c>
      <c r="D198" s="108" t="s">
        <v>432</v>
      </c>
      <c r="E198" s="108"/>
      <c r="F198" s="108"/>
    </row>
    <row r="199" spans="1:6">
      <c r="A199"/>
      <c r="B199"/>
      <c r="C199" s="71"/>
      <c r="D199"/>
      <c r="E199" s="108"/>
      <c r="F199" s="108"/>
    </row>
    <row r="200" spans="1:6">
      <c r="A200" s="10">
        <v>3</v>
      </c>
      <c r="B200" s="10" t="s">
        <v>455</v>
      </c>
      <c r="C200" s="108">
        <v>8</v>
      </c>
      <c r="D200" s="108" t="s">
        <v>455</v>
      </c>
      <c r="E200" s="71"/>
      <c r="F200" s="71"/>
    </row>
    <row r="201" spans="1:6">
      <c r="A201"/>
      <c r="B201"/>
      <c r="C201" s="71"/>
      <c r="D201"/>
      <c r="E201" s="108"/>
      <c r="F201" s="108"/>
    </row>
    <row r="202" spans="1:6">
      <c r="A202" s="10">
        <v>4</v>
      </c>
      <c r="B202" s="10" t="s">
        <v>520</v>
      </c>
      <c r="C202" s="108">
        <v>9</v>
      </c>
      <c r="D202" s="108" t="s">
        <v>459</v>
      </c>
      <c r="E202" s="108"/>
      <c r="F202" s="108"/>
    </row>
    <row r="203" spans="1:6">
      <c r="A203"/>
      <c r="B203"/>
      <c r="C203" s="108">
        <v>10</v>
      </c>
      <c r="D203" s="108" t="s">
        <v>463</v>
      </c>
      <c r="E203" s="108"/>
      <c r="F203" s="108"/>
    </row>
    <row r="204" spans="1:6">
      <c r="A204"/>
      <c r="B204"/>
      <c r="C204" s="108">
        <v>11</v>
      </c>
      <c r="D204" s="108" t="s">
        <v>469</v>
      </c>
      <c r="E204" s="108"/>
      <c r="F204" s="108"/>
    </row>
    <row r="205" spans="1:6">
      <c r="A205"/>
      <c r="B205"/>
      <c r="C205" s="71"/>
      <c r="D205"/>
      <c r="E205" s="108"/>
      <c r="F205" s="108"/>
    </row>
    <row r="206" spans="1:6">
      <c r="A206" s="10">
        <v>5</v>
      </c>
      <c r="B206" s="10" t="s">
        <v>521</v>
      </c>
      <c r="C206" s="108">
        <v>12</v>
      </c>
      <c r="D206" s="108" t="s">
        <v>472</v>
      </c>
      <c r="E206" s="108"/>
      <c r="F206" s="108"/>
    </row>
    <row r="207" spans="1:6">
      <c r="A207"/>
      <c r="B207"/>
      <c r="C207" s="108">
        <v>13</v>
      </c>
      <c r="D207" s="108" t="s">
        <v>476</v>
      </c>
      <c r="E207" s="108"/>
      <c r="F207" s="108"/>
    </row>
    <row r="208" spans="1:6">
      <c r="A208"/>
      <c r="B208"/>
      <c r="C208" s="108">
        <v>14</v>
      </c>
      <c r="D208" s="108" t="s">
        <v>480</v>
      </c>
      <c r="E208" s="108"/>
      <c r="F208" s="108"/>
    </row>
    <row r="209" spans="1:6">
      <c r="A209"/>
      <c r="B209"/>
      <c r="C209" s="108">
        <v>15</v>
      </c>
      <c r="D209" s="108" t="s">
        <v>484</v>
      </c>
      <c r="E209" s="108"/>
      <c r="F209" s="108"/>
    </row>
    <row r="210" spans="1:6">
      <c r="A210"/>
      <c r="B210"/>
      <c r="C210" s="108">
        <v>16</v>
      </c>
      <c r="D210" s="108" t="s">
        <v>485</v>
      </c>
      <c r="E210" s="108"/>
      <c r="F210" s="108"/>
    </row>
    <row r="211" spans="1:6">
      <c r="A211"/>
      <c r="B211"/>
      <c r="C211" s="108">
        <v>17</v>
      </c>
      <c r="D211" s="108" t="s">
        <v>493</v>
      </c>
      <c r="E211" s="108"/>
      <c r="F211" s="108"/>
    </row>
    <row r="212" spans="1:6">
      <c r="A212"/>
      <c r="B212"/>
      <c r="C212" s="108">
        <v>21</v>
      </c>
      <c r="D212" s="108" t="s">
        <v>507</v>
      </c>
      <c r="E212" s="108"/>
      <c r="F212" s="108"/>
    </row>
    <row r="213" spans="1:6">
      <c r="A213"/>
      <c r="B213"/>
      <c r="C213" s="108">
        <v>22</v>
      </c>
      <c r="D213" s="108" t="s">
        <v>512</v>
      </c>
      <c r="E213" s="108"/>
      <c r="F213" s="108"/>
    </row>
    <row r="214" spans="1:6">
      <c r="A214"/>
      <c r="B214"/>
      <c r="C214" s="108"/>
      <c r="D214" s="108"/>
      <c r="E214" s="108"/>
      <c r="F214" s="108"/>
    </row>
    <row r="215" spans="1:6">
      <c r="A215" s="10">
        <v>6</v>
      </c>
      <c r="B215" s="10" t="s">
        <v>522</v>
      </c>
      <c r="C215" s="108">
        <v>18</v>
      </c>
      <c r="D215" s="108" t="s">
        <v>500</v>
      </c>
      <c r="E215" s="108"/>
      <c r="F215" s="108"/>
    </row>
    <row r="216" spans="1:6">
      <c r="A216"/>
      <c r="B216"/>
      <c r="C216" s="108">
        <v>19</v>
      </c>
      <c r="D216" s="108" t="s">
        <v>502</v>
      </c>
      <c r="E216" s="108"/>
      <c r="F216" s="108"/>
    </row>
    <row r="217" spans="1:6">
      <c r="A217"/>
      <c r="B217"/>
      <c r="C217" s="108">
        <v>20</v>
      </c>
      <c r="D217" s="108" t="s">
        <v>503</v>
      </c>
      <c r="E217" s="71"/>
      <c r="F217" s="71"/>
    </row>
    <row r="218" spans="1:6">
      <c r="A218"/>
      <c r="B218"/>
      <c r="C218" s="108"/>
      <c r="D218" s="108"/>
      <c r="E218" s="108"/>
      <c r="F218" s="108"/>
    </row>
    <row r="219" spans="1:6">
      <c r="A219"/>
      <c r="B219"/>
      <c r="C219" s="71"/>
      <c r="D219"/>
      <c r="E219" s="108"/>
      <c r="F219" s="108"/>
    </row>
    <row r="220" spans="1:6">
      <c r="A220" s="15" t="s">
        <v>524</v>
      </c>
      <c r="B220" s="71"/>
      <c r="C220" s="108"/>
      <c r="D220" s="108"/>
      <c r="E220" s="108"/>
      <c r="F220" s="108"/>
    </row>
    <row r="221" spans="1:6">
      <c r="A221" s="71" t="s">
        <v>315</v>
      </c>
      <c r="B221" s="71"/>
      <c r="C221" s="108"/>
      <c r="D221" s="108"/>
      <c r="E221" s="71"/>
      <c r="F221" s="71"/>
    </row>
    <row r="222" spans="1:6">
      <c r="A222" s="71" t="s">
        <v>315</v>
      </c>
      <c r="B222" s="71"/>
      <c r="C222" s="108"/>
      <c r="D222" s="108"/>
      <c r="E222" s="108"/>
      <c r="F222" s="108"/>
    </row>
    <row r="223" spans="1:6">
      <c r="A223" s="71"/>
      <c r="B223" s="71" t="s">
        <v>525</v>
      </c>
      <c r="C223" s="71"/>
      <c r="D223" s="71" t="s">
        <v>526</v>
      </c>
      <c r="E223" s="108"/>
      <c r="F223" s="108"/>
    </row>
    <row r="224" spans="1:6">
      <c r="A224" s="71" t="s">
        <v>315</v>
      </c>
      <c r="B224" s="71"/>
      <c r="C224" s="71"/>
      <c r="D224" s="71"/>
      <c r="E224" s="108"/>
      <c r="F224" s="108"/>
    </row>
    <row r="225" spans="1:6">
      <c r="A225" s="71">
        <v>1</v>
      </c>
      <c r="B225" s="108" t="s">
        <v>273</v>
      </c>
      <c r="C225" s="71">
        <v>1</v>
      </c>
      <c r="D225" s="108" t="s">
        <v>272</v>
      </c>
      <c r="E225" s="108"/>
      <c r="F225" s="108"/>
    </row>
    <row r="226" spans="1:6">
      <c r="A226" s="71"/>
      <c r="B226" s="71"/>
      <c r="C226" s="71">
        <v>2</v>
      </c>
      <c r="D226" s="108" t="s">
        <v>280</v>
      </c>
      <c r="E226" s="108"/>
      <c r="F226" s="108"/>
    </row>
    <row r="227" spans="1:6">
      <c r="A227" s="71"/>
      <c r="B227" s="71"/>
      <c r="C227" s="71"/>
      <c r="D227" s="108"/>
      <c r="E227" s="71"/>
      <c r="F227" s="71"/>
    </row>
    <row r="228" spans="1:6">
      <c r="A228" s="71">
        <v>2</v>
      </c>
      <c r="B228" s="108" t="s">
        <v>281</v>
      </c>
      <c r="C228" s="71">
        <v>3</v>
      </c>
      <c r="D228" s="108" t="s">
        <v>288</v>
      </c>
      <c r="E228" s="108"/>
      <c r="F228" s="108"/>
    </row>
    <row r="229" spans="1:6">
      <c r="A229" s="71"/>
      <c r="B229" s="71"/>
      <c r="C229" s="71">
        <v>4</v>
      </c>
      <c r="D229" s="108" t="s">
        <v>296</v>
      </c>
      <c r="E229" s="108"/>
      <c r="F229" s="108"/>
    </row>
    <row r="230" spans="1:6">
      <c r="A230" s="71"/>
      <c r="B230" s="71"/>
      <c r="C230" s="71">
        <v>5</v>
      </c>
      <c r="D230" s="108" t="s">
        <v>303</v>
      </c>
      <c r="E230" s="71"/>
      <c r="F230" s="71"/>
    </row>
    <row r="231" spans="1:6">
      <c r="A231" s="71"/>
      <c r="B231" s="71"/>
      <c r="C231" s="71">
        <v>6</v>
      </c>
      <c r="D231" s="108" t="s">
        <v>310</v>
      </c>
      <c r="E231" s="108"/>
      <c r="F231" s="108"/>
    </row>
    <row r="232" spans="1:6">
      <c r="A232" s="71"/>
      <c r="B232" s="108"/>
      <c r="C232" s="71"/>
      <c r="D232" s="108"/>
      <c r="E232" s="108"/>
      <c r="F232" s="108"/>
    </row>
    <row r="233" spans="1:6">
      <c r="A233" s="71">
        <v>3</v>
      </c>
      <c r="B233" s="108" t="s">
        <v>289</v>
      </c>
      <c r="C233" s="71">
        <v>7</v>
      </c>
      <c r="D233" s="108" t="s">
        <v>316</v>
      </c>
      <c r="E233" s="108"/>
      <c r="F233" s="108"/>
    </row>
    <row r="234" spans="1:6">
      <c r="A234" s="71"/>
      <c r="B234" s="71"/>
      <c r="C234" s="71">
        <v>8</v>
      </c>
      <c r="D234" s="108" t="s">
        <v>319</v>
      </c>
      <c r="E234" s="71"/>
      <c r="F234" s="71"/>
    </row>
    <row r="235" spans="1:6">
      <c r="A235" s="71"/>
      <c r="B235" s="71"/>
      <c r="C235" s="71">
        <v>9</v>
      </c>
      <c r="D235" s="108" t="s">
        <v>323</v>
      </c>
      <c r="E235" s="108"/>
      <c r="F235" s="108"/>
    </row>
    <row r="236" spans="1:6">
      <c r="A236" s="71"/>
      <c r="B236" s="71"/>
      <c r="C236" s="71">
        <v>10</v>
      </c>
      <c r="D236" s="108" t="s">
        <v>327</v>
      </c>
      <c r="E236" s="108"/>
      <c r="F236" s="108"/>
    </row>
    <row r="237" spans="1:6">
      <c r="A237" s="71"/>
      <c r="B237" s="71"/>
      <c r="C237" s="71">
        <v>11</v>
      </c>
      <c r="D237" s="108" t="s">
        <v>330</v>
      </c>
      <c r="E237" s="108"/>
      <c r="F237" s="108"/>
    </row>
    <row r="238" spans="1:6">
      <c r="A238" s="71"/>
      <c r="B238" s="71"/>
      <c r="C238" s="71"/>
      <c r="D238" s="108"/>
      <c r="E238" s="71"/>
      <c r="F238" s="71"/>
    </row>
    <row r="239" spans="1:6">
      <c r="A239" s="71">
        <v>4</v>
      </c>
      <c r="B239" s="108" t="s">
        <v>297</v>
      </c>
      <c r="C239" s="71">
        <v>12</v>
      </c>
      <c r="D239" s="108" t="s">
        <v>333</v>
      </c>
      <c r="E239" s="108"/>
      <c r="F239" s="108"/>
    </row>
    <row r="240" spans="1:6">
      <c r="A240" s="71"/>
      <c r="B240" s="71"/>
      <c r="C240" s="71">
        <v>13</v>
      </c>
      <c r="D240" s="108" t="s">
        <v>336</v>
      </c>
      <c r="E240" s="108"/>
      <c r="F240" s="108"/>
    </row>
    <row r="241" spans="1:6">
      <c r="A241" s="71"/>
      <c r="B241" s="71"/>
      <c r="C241" s="71"/>
      <c r="D241"/>
      <c r="E241" s="108"/>
      <c r="F241" s="108"/>
    </row>
    <row r="242" spans="1:6">
      <c r="A242" s="71">
        <v>5</v>
      </c>
      <c r="B242" s="108" t="s">
        <v>304</v>
      </c>
      <c r="C242" s="71">
        <v>14</v>
      </c>
      <c r="D242" s="108" t="s">
        <v>339</v>
      </c>
      <c r="E242" s="71"/>
      <c r="F242" s="71"/>
    </row>
    <row r="243" spans="1:6">
      <c r="A243" s="71"/>
      <c r="B243" s="71"/>
      <c r="C243" s="71">
        <v>15</v>
      </c>
      <c r="D243" s="108" t="s">
        <v>342</v>
      </c>
      <c r="E243" s="108"/>
      <c r="F243" s="108"/>
    </row>
    <row r="244" spans="1:6">
      <c r="A244" s="71"/>
      <c r="B244" s="71"/>
      <c r="C244" s="71">
        <v>16</v>
      </c>
      <c r="D244" s="108" t="s">
        <v>345</v>
      </c>
      <c r="E244" s="71"/>
      <c r="F244" s="71"/>
    </row>
    <row r="245" spans="1:6">
      <c r="A245" s="71"/>
      <c r="B245" s="71"/>
      <c r="C245" s="71">
        <v>17</v>
      </c>
      <c r="D245" s="108" t="s">
        <v>348</v>
      </c>
      <c r="E245" s="108"/>
      <c r="F245" s="108"/>
    </row>
    <row r="246" spans="1:6">
      <c r="A246" s="71"/>
      <c r="B246" s="71"/>
      <c r="C246" s="71"/>
      <c r="D246"/>
      <c r="E246" s="108"/>
      <c r="F246" s="108"/>
    </row>
    <row r="247" spans="1:6">
      <c r="A247" s="71">
        <v>6</v>
      </c>
      <c r="B247" s="108" t="s">
        <v>311</v>
      </c>
      <c r="C247" s="71">
        <v>18</v>
      </c>
      <c r="D247" s="108" t="s">
        <v>351</v>
      </c>
      <c r="E247" s="108"/>
      <c r="F247" s="108"/>
    </row>
    <row r="248" spans="1:6">
      <c r="A248" s="71"/>
      <c r="B248" s="71"/>
      <c r="C248" s="71">
        <v>19</v>
      </c>
      <c r="D248" s="108" t="s">
        <v>354</v>
      </c>
      <c r="E248" s="108"/>
      <c r="F248" s="108"/>
    </row>
    <row r="249" spans="1:6">
      <c r="A249" s="71"/>
      <c r="B249" s="71"/>
      <c r="C249" s="71">
        <v>20</v>
      </c>
      <c r="D249" s="108" t="s">
        <v>357</v>
      </c>
      <c r="E249" s="108"/>
      <c r="F249" s="108"/>
    </row>
    <row r="250" spans="1:6">
      <c r="A250" s="71"/>
      <c r="B250" s="71"/>
      <c r="C250" s="71"/>
      <c r="D250" s="71"/>
      <c r="E250" s="108"/>
      <c r="F250" s="108"/>
    </row>
    <row r="251" spans="1:6">
      <c r="A251" s="71">
        <v>7</v>
      </c>
      <c r="B251" s="108" t="s">
        <v>317</v>
      </c>
      <c r="C251" s="71">
        <v>21</v>
      </c>
      <c r="D251" s="108" t="s">
        <v>360</v>
      </c>
      <c r="E251" s="108"/>
      <c r="F251" s="108"/>
    </row>
    <row r="252" spans="1:6">
      <c r="A252" s="71"/>
      <c r="B252" s="71"/>
      <c r="C252" s="71">
        <v>22</v>
      </c>
      <c r="D252" s="108" t="s">
        <v>363</v>
      </c>
      <c r="E252" s="71"/>
      <c r="F252" s="71"/>
    </row>
    <row r="253" spans="1:6">
      <c r="A253" s="71"/>
      <c r="B253" s="71"/>
      <c r="C253" s="71"/>
      <c r="D253" s="108"/>
      <c r="E253" s="108"/>
      <c r="F253" s="108"/>
    </row>
    <row r="254" spans="1:6">
      <c r="A254" s="71">
        <v>8</v>
      </c>
      <c r="B254" s="108" t="s">
        <v>320</v>
      </c>
      <c r="C254" s="71">
        <v>23</v>
      </c>
      <c r="D254" s="108" t="s">
        <v>365</v>
      </c>
      <c r="E254" s="108"/>
      <c r="F254" s="108"/>
    </row>
    <row r="255" spans="1:6" ht="12" customHeight="1">
      <c r="A255" s="71"/>
      <c r="B255" s="71"/>
      <c r="C255" s="71">
        <v>24</v>
      </c>
      <c r="D255" s="108" t="s">
        <v>367</v>
      </c>
      <c r="E255" s="108"/>
      <c r="F255" s="108"/>
    </row>
    <row r="256" spans="1:6">
      <c r="A256" s="71"/>
      <c r="B256" s="71"/>
      <c r="C256" s="71"/>
      <c r="D256" s="71"/>
      <c r="E256" s="108"/>
      <c r="F256" s="108"/>
    </row>
    <row r="257" spans="1:6">
      <c r="A257" s="71">
        <v>9</v>
      </c>
      <c r="B257" s="108" t="s">
        <v>324</v>
      </c>
      <c r="C257" s="71">
        <v>25</v>
      </c>
      <c r="D257" s="108" t="s">
        <v>369</v>
      </c>
      <c r="E257" s="108"/>
      <c r="F257" s="108"/>
    </row>
    <row r="258" spans="1:6">
      <c r="A258" s="71"/>
      <c r="B258" s="71"/>
      <c r="C258" s="71">
        <v>26</v>
      </c>
      <c r="D258" t="s">
        <v>371</v>
      </c>
      <c r="E258" s="108"/>
      <c r="F258" s="108"/>
    </row>
    <row r="259" spans="1:6">
      <c r="A259" s="71"/>
      <c r="B259"/>
      <c r="C259" s="71"/>
      <c r="D259"/>
      <c r="E259" s="108"/>
      <c r="F259" s="108"/>
    </row>
    <row r="260" spans="1:6">
      <c r="A260" s="15" t="s">
        <v>527</v>
      </c>
      <c r="B260" s="71"/>
      <c r="C260" s="71"/>
      <c r="D260"/>
      <c r="E260" s="71"/>
      <c r="F260" s="71"/>
    </row>
    <row r="261" spans="1:6">
      <c r="A261" s="71"/>
      <c r="B261" s="71"/>
      <c r="C261" s="71"/>
      <c r="D261"/>
      <c r="E261" s="71"/>
      <c r="F261" s="71"/>
    </row>
    <row r="262" spans="1:6">
      <c r="A262" s="71"/>
      <c r="B262" s="71" t="s">
        <v>528</v>
      </c>
      <c r="C262" s="71"/>
      <c r="D262" s="71" t="s">
        <v>529</v>
      </c>
      <c r="E262" s="71"/>
      <c r="F262" s="71"/>
    </row>
    <row r="264" spans="1:6">
      <c r="A264" s="71">
        <v>1</v>
      </c>
      <c r="B264" s="108" t="s">
        <v>275</v>
      </c>
      <c r="C264" s="71">
        <v>1</v>
      </c>
      <c r="D264" s="108" t="s">
        <v>274</v>
      </c>
      <c r="E264" s="71"/>
      <c r="F264" s="71"/>
    </row>
    <row r="265" spans="1:6">
      <c r="A265" s="71"/>
      <c r="B265" s="71"/>
      <c r="C265" s="71">
        <v>2</v>
      </c>
      <c r="D265" s="108" t="s">
        <v>282</v>
      </c>
      <c r="E265" s="108"/>
      <c r="F265" s="108"/>
    </row>
    <row r="266" spans="1:6">
      <c r="A266" s="71"/>
      <c r="B266" s="71"/>
      <c r="C266" s="71"/>
      <c r="D266" s="71"/>
      <c r="E266" s="108"/>
      <c r="F266" s="108"/>
    </row>
    <row r="267" spans="1:6">
      <c r="A267" s="71">
        <v>2</v>
      </c>
      <c r="B267" s="108" t="s">
        <v>283</v>
      </c>
      <c r="C267" s="71">
        <v>3</v>
      </c>
      <c r="D267" s="108" t="s">
        <v>290</v>
      </c>
      <c r="E267" s="108"/>
      <c r="F267" s="108"/>
    </row>
    <row r="268" spans="1:6">
      <c r="A268" s="71"/>
      <c r="B268" s="71"/>
      <c r="C268" s="71">
        <v>4</v>
      </c>
      <c r="D268" s="108" t="s">
        <v>298</v>
      </c>
      <c r="E268" s="71"/>
      <c r="F268" s="71"/>
    </row>
    <row r="269" spans="1:6">
      <c r="A269" s="71"/>
      <c r="B269" s="71"/>
      <c r="C269" s="71">
        <v>5</v>
      </c>
      <c r="D269" s="108" t="s">
        <v>305</v>
      </c>
      <c r="E269" s="71"/>
      <c r="F269" s="71"/>
    </row>
    <row r="271" spans="1:6">
      <c r="A271" s="71">
        <v>3</v>
      </c>
      <c r="B271" s="108" t="s">
        <v>291</v>
      </c>
      <c r="C271" s="71">
        <v>6</v>
      </c>
      <c r="D271" s="108" t="s">
        <v>291</v>
      </c>
      <c r="E271" s="71"/>
      <c r="F271" s="71"/>
    </row>
    <row r="273" spans="1:4">
      <c r="A273" s="71">
        <v>4</v>
      </c>
      <c r="B273" s="108" t="s">
        <v>299</v>
      </c>
      <c r="C273" s="71">
        <v>7</v>
      </c>
      <c r="D273" s="108" t="s">
        <v>299</v>
      </c>
    </row>
    <row r="275" spans="1:4">
      <c r="A275" s="71">
        <v>5</v>
      </c>
      <c r="B275" s="108" t="s">
        <v>306</v>
      </c>
      <c r="C275" s="71">
        <v>8</v>
      </c>
      <c r="D275" s="108" t="s">
        <v>306</v>
      </c>
    </row>
    <row r="277" spans="1:4">
      <c r="A277" s="71">
        <v>6</v>
      </c>
      <c r="B277" s="108" t="s">
        <v>312</v>
      </c>
      <c r="C277" s="71">
        <v>9</v>
      </c>
      <c r="D277" s="108" t="s">
        <v>312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3E3C09-7438-4842-A4F2-CA7D1807F334}"/>
</file>

<file path=customXml/itemProps2.xml><?xml version="1.0" encoding="utf-8"?>
<ds:datastoreItem xmlns:ds="http://schemas.openxmlformats.org/officeDocument/2006/customXml" ds:itemID="{54B751B6-954D-4846-AC2B-B5B2F5B74663}"/>
</file>

<file path=customXml/itemProps3.xml><?xml version="1.0" encoding="utf-8"?>
<ds:datastoreItem xmlns:ds="http://schemas.openxmlformats.org/officeDocument/2006/customXml" ds:itemID="{399AF37C-861A-454A-9AEF-CCFDF5B0E9E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University of Warwick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IT Services</dc:creator>
  <cp:keywords/>
  <dc:description/>
  <cp:lastModifiedBy>JAMES, Paul</cp:lastModifiedBy>
  <cp:revision/>
  <dcterms:created xsi:type="dcterms:W3CDTF">2006-08-30T09:48:05Z</dcterms:created>
  <dcterms:modified xsi:type="dcterms:W3CDTF">2023-03-21T08:45:42Z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  <property fmtid="{D5CDD505-2E9C-101B-9397-08002B2CF9AE}" pid="3" name="MediaServiceImageTags">
    <vt:lpwstr/>
  </property>
</Properties>
</file>